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00" yWindow="0" windowWidth="34300" windowHeight="22840" tabRatio="500" activeTab="0"/>
  </bookViews>
  <sheets>
    <sheet name="Sheet1" sheetId="1" r:id="rId1"/>
    <sheet name="Sheet2" sheetId="2" r:id="rId2"/>
    <sheet name="Sheet3" sheetId="3" r:id="rId3"/>
  </sheets>
  <definedNames>
    <definedName name="_xlnm.Print_Area" localSheetId="0">'Sheet1'!$1:$372</definedName>
  </definedNames>
  <calcPr fullCalcOnLoad="1"/>
</workbook>
</file>

<file path=xl/sharedStrings.xml><?xml version="1.0" encoding="utf-8"?>
<sst xmlns="http://schemas.openxmlformats.org/spreadsheetml/2006/main" count="910" uniqueCount="630">
  <si>
    <t>However, due to circumstances, by 2015 this could well be low by a factor of two.</t>
  </si>
  <si>
    <r>
      <t>algal-sequestered CO2. Thus, 18CO</t>
    </r>
    <r>
      <rPr>
        <i/>
        <vertAlign val="subscript"/>
        <sz val="9"/>
        <rFont val="Times New Roman"/>
        <family val="0"/>
      </rPr>
      <t>2</t>
    </r>
    <r>
      <rPr>
        <i/>
        <sz val="9"/>
        <rFont val="Times New Roman"/>
        <family val="0"/>
      </rPr>
      <t xml:space="preserve"> + 13H</t>
    </r>
    <r>
      <rPr>
        <i/>
        <vertAlign val="subscript"/>
        <sz val="9"/>
        <rFont val="Times New Roman"/>
        <family val="0"/>
      </rPr>
      <t>2</t>
    </r>
    <r>
      <rPr>
        <i/>
        <sz val="9"/>
        <rFont val="Times New Roman"/>
        <family val="0"/>
      </rPr>
      <t>O + 3NH</t>
    </r>
    <r>
      <rPr>
        <i/>
        <vertAlign val="subscript"/>
        <sz val="9"/>
        <rFont val="Times New Roman"/>
        <family val="0"/>
      </rPr>
      <t>3</t>
    </r>
    <r>
      <rPr>
        <i/>
        <sz val="9"/>
        <rFont val="Times New Roman"/>
        <family val="0"/>
      </rPr>
      <t xml:space="preserve"> -&gt; C</t>
    </r>
    <r>
      <rPr>
        <i/>
        <vertAlign val="subscript"/>
        <sz val="9"/>
        <rFont val="Times New Roman"/>
        <family val="0"/>
      </rPr>
      <t>18</t>
    </r>
    <r>
      <rPr>
        <i/>
        <sz val="9"/>
        <rFont val="Times New Roman"/>
        <family val="0"/>
      </rPr>
      <t>H</t>
    </r>
    <r>
      <rPr>
        <i/>
        <vertAlign val="subscript"/>
        <sz val="9"/>
        <rFont val="Times New Roman"/>
        <family val="0"/>
      </rPr>
      <t>35</t>
    </r>
    <r>
      <rPr>
        <i/>
        <sz val="9"/>
        <rFont val="Times New Roman"/>
        <family val="0"/>
      </rPr>
      <t>O</t>
    </r>
    <r>
      <rPr>
        <i/>
        <vertAlign val="subscript"/>
        <sz val="9"/>
        <rFont val="Times New Roman"/>
        <family val="0"/>
      </rPr>
      <t>9</t>
    </r>
    <r>
      <rPr>
        <i/>
        <sz val="9"/>
        <rFont val="Times New Roman"/>
        <family val="0"/>
      </rPr>
      <t>N</t>
    </r>
    <r>
      <rPr>
        <i/>
        <vertAlign val="subscript"/>
        <sz val="9"/>
        <rFont val="Times New Roman"/>
        <family val="0"/>
      </rPr>
      <t>3</t>
    </r>
    <r>
      <rPr>
        <i/>
        <sz val="9"/>
        <rFont val="Times New Roman"/>
        <family val="0"/>
      </rPr>
      <t xml:space="preserve"> algae + 20O</t>
    </r>
    <r>
      <rPr>
        <i/>
        <vertAlign val="subscript"/>
        <sz val="9"/>
        <rFont val="Times New Roman"/>
        <family val="0"/>
      </rPr>
      <t>2</t>
    </r>
  </si>
  <si>
    <r>
      <t>minerals, of C</t>
    </r>
    <r>
      <rPr>
        <i/>
        <vertAlign val="subscript"/>
        <sz val="9"/>
        <rFont val="Times New Roman"/>
        <family val="0"/>
      </rPr>
      <t>18</t>
    </r>
    <r>
      <rPr>
        <i/>
        <sz val="9"/>
        <rFont val="Times New Roman"/>
        <family val="0"/>
      </rPr>
      <t>H</t>
    </r>
    <r>
      <rPr>
        <i/>
        <vertAlign val="subscript"/>
        <sz val="9"/>
        <rFont val="Times New Roman"/>
        <family val="0"/>
      </rPr>
      <t>35</t>
    </r>
    <r>
      <rPr>
        <i/>
        <sz val="9"/>
        <rFont val="Times New Roman"/>
        <family val="0"/>
      </rPr>
      <t>O</t>
    </r>
    <r>
      <rPr>
        <i/>
        <vertAlign val="subscript"/>
        <sz val="9"/>
        <rFont val="Times New Roman"/>
        <family val="0"/>
      </rPr>
      <t>9</t>
    </r>
    <r>
      <rPr>
        <i/>
        <sz val="9"/>
        <rFont val="Times New Roman"/>
        <family val="0"/>
      </rPr>
      <t>N</t>
    </r>
    <r>
      <rPr>
        <i/>
        <vertAlign val="subscript"/>
        <sz val="9"/>
        <rFont val="Times New Roman"/>
        <family val="0"/>
      </rPr>
      <t>3</t>
    </r>
    <r>
      <rPr>
        <i/>
        <sz val="9"/>
        <rFont val="Times New Roman"/>
        <family val="0"/>
      </rPr>
      <t xml:space="preserve">.  Use this to determine the inputs &amp; outputs for 1,000kg of  </t>
    </r>
  </si>
  <si>
    <t xml:space="preserve">lipids, 15% carbohydrates &amp; 8% minerals+, with elemental composition, excluding </t>
  </si>
  <si>
    <t>Assume the algae is low-stressed Chlorella vulgaris comprising 59% protein+, 18%</t>
  </si>
  <si>
    <t>TAGs &amp; fatty acids</t>
  </si>
  <si>
    <t>Assume that triacylglycerides (TAGs) + fatty acids are 11% and other lipids 7%.</t>
  </si>
  <si>
    <t>Algal balance, excl water</t>
  </si>
  <si>
    <t>However, additional cables on the towers are allowed here. Transmission cost and losses</t>
  </si>
  <si>
    <t xml:space="preserve">forecast value of a kWh of clean power, produced on-site is taken as $0.100/kWh. </t>
  </si>
  <si>
    <t xml:space="preserve">due to the remoteness of the site, modest price increases &amp; other factors mean that the </t>
  </si>
  <si>
    <t xml:space="preserve">It is used &amp; generated over the time taken for the algae to process 1,000kg of CO2. </t>
  </si>
  <si>
    <t>Adaptable coverage PVs reduce excessive heat and can nearly optimise PAR to</t>
  </si>
  <si>
    <t xml:space="preserve">the algae. Note, Innamincka average daily insolation = 250W/m2. Thus, around </t>
  </si>
  <si>
    <t>(250-60)/250=190, or 76%, is available for PV conversion into electric power,</t>
  </si>
  <si>
    <t>assuming that PAR addition from the reflectors is roughly offset by other factors.</t>
  </si>
  <si>
    <t xml:space="preserve">However, Nanosolar reports a solar efficiency conversion rate of ~15% which </t>
  </si>
  <si>
    <t>is used here.</t>
  </si>
  <si>
    <t>Conservatively, this has been reduced here to AUD$150/bbl, ~that reached in 2008.</t>
  </si>
  <si>
    <t>methanol for algal lipid transesterification, with the rest converted into DME.</t>
  </si>
  <si>
    <t>Assume RECs have a market value of $43/MwH = $0.043/KwH (value @ ~5/1/09).</t>
  </si>
  <si>
    <t xml:space="preserve">price of $0.100/kWh, the value of on-site O2 is $0.15/kg. Discount to $0.070/kg </t>
  </si>
  <si>
    <t xml:space="preserve">$0.072/kWh. As a marginal cost, this presumably excludes amortization. GDY also </t>
  </si>
  <si>
    <t xml:space="preserve">power required to sparge/mix/move 1,359kg of material. </t>
  </si>
  <si>
    <t>Now, the USDA maintains that 25t oil/Ha/yr is achievable using open raceway ponds.</t>
  </si>
  <si>
    <t>NH3 from WAS</t>
  </si>
  <si>
    <t xml:space="preserve">PAR insolation measured @ Moomba site: av=105, winter=55, summer=165  W/m2. </t>
  </si>
  <si>
    <r>
      <t>Temperature ~200</t>
    </r>
    <r>
      <rPr>
        <vertAlign val="superscript"/>
        <sz val="9"/>
        <rFont val="Times New Roman"/>
        <family val="0"/>
      </rPr>
      <t>0</t>
    </r>
    <r>
      <rPr>
        <sz val="9"/>
        <rFont val="Times New Roman"/>
        <family val="0"/>
      </rPr>
      <t>C</t>
    </r>
  </si>
  <si>
    <r>
      <t>Products cooled to 30</t>
    </r>
    <r>
      <rPr>
        <vertAlign val="superscript"/>
        <sz val="9"/>
        <rFont val="Times New Roman"/>
        <family val="0"/>
      </rPr>
      <t>0</t>
    </r>
    <r>
      <rPr>
        <sz val="9"/>
        <rFont val="Times New Roman"/>
        <family val="0"/>
      </rPr>
      <t>C @ 12atm.</t>
    </r>
  </si>
  <si>
    <r>
      <t>NH</t>
    </r>
    <r>
      <rPr>
        <vertAlign val="subscript"/>
        <sz val="9"/>
        <rFont val="Times New Roman"/>
        <family val="0"/>
      </rPr>
      <t>3</t>
    </r>
    <r>
      <rPr>
        <sz val="9"/>
        <rFont val="Times New Roman"/>
        <family val="0"/>
      </rPr>
      <t xml:space="preserve"> or urea product removed via hydroclone.</t>
    </r>
  </si>
  <si>
    <t>RFO carrier</t>
  </si>
  <si>
    <t xml:space="preserve"> by fossil fuel replacement.</t>
  </si>
  <si>
    <t>The negative value for CO2 represents a price of $30/tonne of CO2 avoided</t>
  </si>
  <si>
    <t xml:space="preserve">Assume 85% of O2 produced is sold and 15% is reacted with local methane to make </t>
  </si>
  <si>
    <r>
      <t>Note, carbohydrate steam reforming reaction is C</t>
    </r>
    <r>
      <rPr>
        <i/>
        <vertAlign val="subscript"/>
        <sz val="9"/>
        <rFont val="Times New Roman"/>
        <family val="0"/>
      </rPr>
      <t>6</t>
    </r>
    <r>
      <rPr>
        <i/>
        <sz val="9"/>
        <rFont val="Times New Roman"/>
        <family val="0"/>
      </rPr>
      <t>H</t>
    </r>
    <r>
      <rPr>
        <i/>
        <vertAlign val="subscript"/>
        <sz val="9"/>
        <rFont val="Times New Roman"/>
        <family val="0"/>
      </rPr>
      <t>10</t>
    </r>
    <r>
      <rPr>
        <i/>
        <sz val="9"/>
        <rFont val="Times New Roman"/>
        <family val="0"/>
      </rPr>
      <t>O</t>
    </r>
    <r>
      <rPr>
        <i/>
        <vertAlign val="subscript"/>
        <sz val="9"/>
        <rFont val="Times New Roman"/>
        <family val="0"/>
      </rPr>
      <t xml:space="preserve">5 </t>
    </r>
    <r>
      <rPr>
        <i/>
        <sz val="9"/>
        <rFont val="Times New Roman"/>
        <family val="0"/>
      </rPr>
      <t>+ H</t>
    </r>
    <r>
      <rPr>
        <i/>
        <vertAlign val="subscript"/>
        <sz val="9"/>
        <rFont val="Times New Roman"/>
        <family val="0"/>
      </rPr>
      <t>2</t>
    </r>
    <r>
      <rPr>
        <i/>
        <sz val="9"/>
        <rFont val="Times New Roman"/>
        <family val="0"/>
      </rPr>
      <t>O -&gt; 6CO + 6H</t>
    </r>
    <r>
      <rPr>
        <i/>
        <vertAlign val="subscript"/>
        <sz val="9"/>
        <rFont val="Times New Roman"/>
        <family val="0"/>
      </rPr>
      <t>2</t>
    </r>
  </si>
  <si>
    <r>
      <t>Temp 350-500</t>
    </r>
    <r>
      <rPr>
        <vertAlign val="superscript"/>
        <sz val="9"/>
        <rFont val="Times New Roman"/>
        <family val="0"/>
      </rPr>
      <t>0</t>
    </r>
    <r>
      <rPr>
        <sz val="9"/>
        <rFont val="Times New Roman"/>
        <family val="0"/>
      </rPr>
      <t>C</t>
    </r>
  </si>
  <si>
    <t>Pressure 210-230atm</t>
  </si>
  <si>
    <t>Assume 75% conversion of biomass into syngas, with rest converted to recyclable</t>
  </si>
  <si>
    <t>ammonia (NH3), CO2, CH4, water and free nutrient minerals. Recyce CH4 to WSS.</t>
  </si>
  <si>
    <t>At 9% enhanced PAR usage, maximum algal photoefficiency is ~35g/m2/d=12.8kg/m2</t>
  </si>
  <si>
    <t>/yr biomass. CHECK!!!</t>
  </si>
  <si>
    <t xml:space="preserve">with 18% lipid content. Thus, 200m2 (=1PBR) produces 551kg of biomass in 1,344hrs. </t>
  </si>
  <si>
    <t xml:space="preserve">Assume a Winwick phytotube produces an average 18kg/m2/yr (74gm/m2/d) of biomass </t>
  </si>
  <si>
    <t>efficiency, but exposing only the orthogonal equivalent of 11/15 = av73% PV surface</t>
  </si>
  <si>
    <t xml:space="preserve">In 1,344 hours, a 250m2 bioreactor, with 0.76*170= 129m2 of PV surface, with 15% </t>
  </si>
  <si>
    <t>In Nov2008 GDY MD said electricity Tx Innamincka/East Coast will cost $14/MwH.</t>
  </si>
  <si>
    <t>unable to process. Thus extra, recycled CO2 will needs be input, but is not priced.</t>
  </si>
  <si>
    <t>$/kWh</t>
  </si>
  <si>
    <t xml:space="preserve">price of oil will reach in excess of USD$200/barrel (bbl) in the mid-term future. </t>
  </si>
  <si>
    <t>Use some for WSS and WMS, sell rest of O2 at 53% discount</t>
  </si>
  <si>
    <t>20%Tx cost&amp;lineloss</t>
  </si>
  <si>
    <t>&amp; using Innamincka's average insolation would produce 6,746kWh of solar electricity.</t>
  </si>
  <si>
    <t>Transport fuel alkanes may be produced in drillhole reactors either by using the</t>
  </si>
  <si>
    <t>Low temperature Fischer-Tropsch (LTFT) or high temperature (HTFT) processes.</t>
  </si>
  <si>
    <t>The HTFT one is modelled here as WSS/WFTAS temperatures are closer to it.</t>
  </si>
  <si>
    <r>
      <t>Temperature 300-350</t>
    </r>
    <r>
      <rPr>
        <vertAlign val="superscript"/>
        <sz val="9"/>
        <rFont val="Times New Roman"/>
        <family val="0"/>
      </rPr>
      <t>0</t>
    </r>
    <r>
      <rPr>
        <sz val="9"/>
        <rFont val="Times New Roman"/>
        <family val="0"/>
      </rPr>
      <t>C</t>
    </r>
  </si>
  <si>
    <t>particles disseminated</t>
  </si>
  <si>
    <t>Catalyst: Fe on ceramic</t>
  </si>
  <si>
    <t>in the carrier oil</t>
  </si>
  <si>
    <t>Pressure 20-1000atm</t>
  </si>
  <si>
    <t>Syngas bubbles</t>
  </si>
  <si>
    <t>Alkanes</t>
  </si>
  <si>
    <t>Carrier oil</t>
  </si>
  <si>
    <t>after WOF</t>
  </si>
  <si>
    <t>Recycle</t>
  </si>
  <si>
    <t>Mixed alkanes and carrier oil</t>
  </si>
  <si>
    <r>
      <t>Temperature 350-60</t>
    </r>
    <r>
      <rPr>
        <vertAlign val="superscript"/>
        <sz val="9"/>
        <rFont val="Times New Roman"/>
        <family val="0"/>
      </rPr>
      <t>0</t>
    </r>
    <r>
      <rPr>
        <sz val="9"/>
        <rFont val="Times New Roman"/>
        <family val="0"/>
      </rPr>
      <t>C</t>
    </r>
  </si>
  <si>
    <t>Pressure: 20-0.1atm</t>
  </si>
  <si>
    <t>Nitrogen and oxygen are produced on-site from air via a membrane separation technique.</t>
  </si>
  <si>
    <t>Hydrogen is generated from syngas via the water shift reaction CO/H2 + H2O -&gt;2H2 + CO2</t>
  </si>
  <si>
    <t>Winwick Ammonia Synthesis (WAS), combined with membrane separation of air into N2 and O2 and H2 production from syngas</t>
  </si>
  <si>
    <t>recycled</t>
  </si>
  <si>
    <t xml:space="preserve">WSS may also be used to produce syngas and release nutrients from any biomass </t>
  </si>
  <si>
    <t xml:space="preserve">Some of this power is required to propel &amp; mix the algal soup and to sparge it </t>
  </si>
  <si>
    <t xml:space="preserve">with CO2. Lesser amounts are required for sensors, actuators &amp; other pumps. </t>
  </si>
  <si>
    <t xml:space="preserve"> External material transport costs are excluded here, except some 15kWh to pump</t>
  </si>
  <si>
    <t>Geodynamics Ltd (GDY) expects to link Innamincka to the national electricity grid.</t>
  </si>
  <si>
    <r>
      <t>Silicon PVs work best at ~0</t>
    </r>
    <r>
      <rPr>
        <i/>
        <vertAlign val="superscript"/>
        <sz val="9"/>
        <rFont val="Times New Roman"/>
        <family val="0"/>
      </rPr>
      <t>0</t>
    </r>
    <r>
      <rPr>
        <i/>
        <sz val="9"/>
        <rFont val="Times New Roman"/>
        <family val="0"/>
      </rPr>
      <t>C. Thin-film PV efficiency @ 10/20/30/40/50</t>
    </r>
    <r>
      <rPr>
        <i/>
        <vertAlign val="superscript"/>
        <sz val="9"/>
        <rFont val="Times New Roman"/>
        <family val="0"/>
      </rPr>
      <t>0</t>
    </r>
    <r>
      <rPr>
        <i/>
        <sz val="9"/>
        <rFont val="Times New Roman"/>
        <family val="0"/>
      </rPr>
      <t>C=TBD</t>
    </r>
  </si>
  <si>
    <t>Both the International Energy Agency and Goldman Sachs have forecast that the</t>
  </si>
  <si>
    <t>Plus free sunlight</t>
  </si>
  <si>
    <t xml:space="preserve">~98% single pass ammonia is decanted underground as a liquid by cooling to </t>
  </si>
  <si>
    <r>
      <t>~70</t>
    </r>
    <r>
      <rPr>
        <i/>
        <vertAlign val="superscript"/>
        <sz val="9"/>
        <rFont val="Times New Roman"/>
        <family val="0"/>
      </rPr>
      <t>0</t>
    </r>
    <r>
      <rPr>
        <i/>
        <sz val="9"/>
        <rFont val="Times New Roman"/>
        <family val="0"/>
      </rPr>
      <t>C @ ~40atm or to ~30</t>
    </r>
    <r>
      <rPr>
        <i/>
        <vertAlign val="superscript"/>
        <sz val="9"/>
        <rFont val="Times New Roman"/>
        <family val="0"/>
      </rPr>
      <t>0</t>
    </r>
    <r>
      <rPr>
        <i/>
        <sz val="9"/>
        <rFont val="Times New Roman"/>
        <family val="0"/>
      </rPr>
      <t>C @ ~11.6atm</t>
    </r>
  </si>
  <si>
    <t>By adding CO2, the WAS may also be made to produce urea in the same pass.</t>
  </si>
  <si>
    <t>Pressure ~750atm</t>
  </si>
  <si>
    <t>Cell walls ~C32H33O19N ~2% N or any chipped biomass</t>
  </si>
  <si>
    <t>NH3</t>
  </si>
  <si>
    <t>Recycled</t>
  </si>
  <si>
    <t>Hydrogen</t>
  </si>
  <si>
    <t>The biomass will find uses as human food, nutriceuticals, pharmaceuticals (possibly from GM algae), stockfeed for fish, birds and animals, and as plastics' feedstock.</t>
  </si>
  <si>
    <t>Winwick Oil Fractionation (WOF) of FAMES by Fractional Distillation (Fractionation) using HFR Heat</t>
  </si>
  <si>
    <t>Winwick Oil Fractionation (WOF), or more precisely, the fractional condensation of hot, mixed WFTAS alkanes</t>
  </si>
  <si>
    <t>The RFO and catalyst may be vortex-centrifuged to extract spare RFO for sale.</t>
  </si>
  <si>
    <t>RFO+catalyst</t>
  </si>
  <si>
    <t>carrier</t>
  </si>
  <si>
    <t>Combining the WSS and WFTAS processes in the one drillhole reactor can reduce costs</t>
  </si>
  <si>
    <t>further.</t>
  </si>
  <si>
    <t xml:space="preserve">Spare Residual </t>
  </si>
  <si>
    <t>Fuel Oil (RFO)</t>
  </si>
  <si>
    <t>Additional</t>
  </si>
  <si>
    <t>renewal</t>
  </si>
  <si>
    <t>Diesel</t>
  </si>
  <si>
    <t>BioPetrol</t>
  </si>
  <si>
    <t>BioJet fuel</t>
  </si>
  <si>
    <t>Methanol can also be produced from syngas, possibly also by using drillhole reactors.</t>
  </si>
  <si>
    <t xml:space="preserve">Assumes 75% yield for syngas from algal cellwall biomass and 90% for DME from </t>
  </si>
  <si>
    <t>to WDS</t>
  </si>
  <si>
    <r>
      <t>Catalyst: Os or partly reduced Fe/Fe</t>
    </r>
    <r>
      <rPr>
        <vertAlign val="subscript"/>
        <sz val="9"/>
        <rFont val="Times New Roman"/>
        <family val="0"/>
      </rPr>
      <t>3</t>
    </r>
    <r>
      <rPr>
        <sz val="9"/>
        <rFont val="Times New Roman"/>
        <family val="0"/>
      </rPr>
      <t>O</t>
    </r>
    <r>
      <rPr>
        <vertAlign val="subscript"/>
        <sz val="9"/>
        <rFont val="Times New Roman"/>
        <family val="0"/>
      </rPr>
      <t>4</t>
    </r>
    <r>
      <rPr>
        <sz val="9"/>
        <rFont val="Times New Roman"/>
        <family val="0"/>
      </rPr>
      <t xml:space="preserve"> on CaO/K</t>
    </r>
    <r>
      <rPr>
        <vertAlign val="subscript"/>
        <sz val="9"/>
        <rFont val="Times New Roman"/>
        <family val="0"/>
      </rPr>
      <t>2</t>
    </r>
    <r>
      <rPr>
        <sz val="9"/>
        <rFont val="Times New Roman"/>
        <family val="0"/>
      </rPr>
      <t>O/Al</t>
    </r>
    <r>
      <rPr>
        <vertAlign val="subscript"/>
        <sz val="9"/>
        <rFont val="Times New Roman"/>
        <family val="0"/>
      </rPr>
      <t>2</t>
    </r>
    <r>
      <rPr>
        <sz val="9"/>
        <rFont val="Times New Roman"/>
        <family val="0"/>
      </rPr>
      <t>O</t>
    </r>
    <r>
      <rPr>
        <vertAlign val="subscript"/>
        <sz val="9"/>
        <rFont val="Times New Roman"/>
        <family val="0"/>
      </rPr>
      <t>3</t>
    </r>
    <r>
      <rPr>
        <sz val="9"/>
        <rFont val="Times New Roman"/>
        <family val="0"/>
      </rPr>
      <t xml:space="preserve"> substrate</t>
    </r>
  </si>
  <si>
    <t>Power for N2/O2 gas separation</t>
  </si>
  <si>
    <t>Power for H2 conversion and separation</t>
  </si>
  <si>
    <t>Power for pumping, cooling &amp; sep'n</t>
  </si>
  <si>
    <t>Air&amp;Water</t>
  </si>
  <si>
    <t>CH4/CO2</t>
  </si>
  <si>
    <t>Recover</t>
  </si>
  <si>
    <t>&amp; re-use</t>
  </si>
  <si>
    <t>Nutrient liquid - includes nutrient salts (P, K etc.), ammonia &amp; some CO2</t>
  </si>
  <si>
    <t>Catalyst &amp; densifier</t>
  </si>
  <si>
    <t>Recover by filtration</t>
  </si>
  <si>
    <t>and re-use</t>
  </si>
  <si>
    <t>Winwick DME Synthesis (WDS)</t>
  </si>
  <si>
    <r>
      <t>Catalyst: Sol-gel Cu-Zn/Al</t>
    </r>
    <r>
      <rPr>
        <vertAlign val="subscript"/>
        <sz val="9"/>
        <rFont val="Times New Roman"/>
        <family val="0"/>
      </rPr>
      <t>2</t>
    </r>
    <r>
      <rPr>
        <sz val="9"/>
        <rFont val="Times New Roman"/>
        <family val="0"/>
      </rPr>
      <t>O</t>
    </r>
    <r>
      <rPr>
        <vertAlign val="subscript"/>
        <sz val="9"/>
        <rFont val="Times New Roman"/>
        <family val="0"/>
      </rPr>
      <t>3</t>
    </r>
  </si>
  <si>
    <r>
      <t>Temp 220-500</t>
    </r>
    <r>
      <rPr>
        <vertAlign val="superscript"/>
        <sz val="9"/>
        <rFont val="Times New Roman"/>
        <family val="0"/>
      </rPr>
      <t>0</t>
    </r>
    <r>
      <rPr>
        <sz val="9"/>
        <rFont val="Times New Roman"/>
        <family val="0"/>
      </rPr>
      <t>C</t>
    </r>
  </si>
  <si>
    <t>Pressure 160-230atm</t>
  </si>
  <si>
    <t>syngas using Takeishi's multifunction, sol-gel catalyst.</t>
  </si>
  <si>
    <t>DME, dimethyl ether</t>
  </si>
  <si>
    <t>Wax or heavy oil carrier</t>
  </si>
  <si>
    <t>Wax or heavy oil carrier liquid</t>
  </si>
  <si>
    <t>change oil price to AUD$120/bbl</t>
  </si>
  <si>
    <t>Using SCWG, WSS can depolymerise polymers before re-use, or produce biochar/biogas</t>
  </si>
  <si>
    <t>Densifiers</t>
  </si>
  <si>
    <t>combustion. Higher temperatures favour syngas production over that of methane.</t>
  </si>
  <si>
    <t xml:space="preserve">methane (CH4). Higher concentrations &lt;12% may be required for self-perpetuating  </t>
  </si>
  <si>
    <r>
      <t>Algal cell walls are often 2-4% nitrogen by weight &amp; of composition ~C</t>
    </r>
    <r>
      <rPr>
        <i/>
        <vertAlign val="subscript"/>
        <sz val="9"/>
        <rFont val="Times New Roman"/>
        <family val="0"/>
      </rPr>
      <t>48</t>
    </r>
    <r>
      <rPr>
        <i/>
        <sz val="9"/>
        <rFont val="Times New Roman"/>
        <family val="0"/>
      </rPr>
      <t>H</t>
    </r>
    <r>
      <rPr>
        <i/>
        <vertAlign val="subscript"/>
        <sz val="9"/>
        <rFont val="Times New Roman"/>
        <family val="0"/>
      </rPr>
      <t>50</t>
    </r>
    <r>
      <rPr>
        <i/>
        <sz val="9"/>
        <rFont val="Times New Roman"/>
        <family val="0"/>
      </rPr>
      <t>O</t>
    </r>
    <r>
      <rPr>
        <i/>
        <vertAlign val="subscript"/>
        <sz val="9"/>
        <rFont val="Times New Roman"/>
        <family val="0"/>
      </rPr>
      <t>29</t>
    </r>
    <r>
      <rPr>
        <i/>
        <sz val="9"/>
        <rFont val="Times New Roman"/>
        <family val="0"/>
      </rPr>
      <t>N.</t>
    </r>
  </si>
  <si>
    <t>Catalyst renewal</t>
  </si>
  <si>
    <t>exchange with downcoming reactants, cavitation and adiabatic cooling.</t>
  </si>
  <si>
    <t>Guestimate the cost of any required chemicals for extracting co-products as $4.</t>
  </si>
  <si>
    <t>extract more lipids and proteins. They do not need to be ultra-centrifuged or dried.</t>
  </si>
  <si>
    <t xml:space="preserve">for more power. The ruptured algal cell walls should be washed and re-centrifuged to  </t>
  </si>
  <si>
    <t>weight tonne of algae. At first use blocked or spare HFR wells.</t>
  </si>
  <si>
    <t xml:space="preserve">(and often not readily available) washing water, plus alkali catalysts, ion </t>
  </si>
  <si>
    <t xml:space="preserve">exchange resins, drying &amp;/or abrasive agents, as well as the required methanol. </t>
  </si>
  <si>
    <t>The more methanol that is produced locally, the higher is the overall ROI.</t>
  </si>
  <si>
    <t>reclaim only 50% due losses and as the reaction is endothermic</t>
  </si>
  <si>
    <t>Farm PPE cost/bioreactor is $7,949</t>
  </si>
  <si>
    <t xml:space="preserve">See Capital model where 12% interest/yr on PPE capital of $11,297/bioreactor is $1,356/yr. </t>
  </si>
  <si>
    <t>As some prospective microalgae strains have productivity around 12l/m2/yr of lipids</t>
  </si>
  <si>
    <t>the heavier glycerine prior to fractionation.</t>
  </si>
  <si>
    <t xml:space="preserve"> or to treat waste water by partially oxidising its organics and sterilising it.</t>
  </si>
  <si>
    <t xml:space="preserve">WSS is exothermic, so assume a net zero cost for HFR and superheated steam. </t>
  </si>
  <si>
    <t>to algae</t>
  </si>
  <si>
    <t>to WSS</t>
  </si>
  <si>
    <t>O2/CO2 mix (90:10) from bioreactors</t>
  </si>
  <si>
    <t>Ammonia</t>
  </si>
  <si>
    <t>O2</t>
  </si>
  <si>
    <t>Syngas</t>
  </si>
  <si>
    <t>free</t>
  </si>
  <si>
    <t>Aqueous biomass slurry is pre-heated at the surface using HFR and process heat, then</t>
  </si>
  <si>
    <t xml:space="preserve">heated further downhole by superheated steam, adiabatic compression, heat exchange, </t>
  </si>
  <si>
    <t xml:space="preserve">decavitation and partial oxidation. Cooling occurs on the upward passage via heat </t>
  </si>
  <si>
    <t>Biomass is at low concentration 1-3% to favour the production of syngas versus</t>
  </si>
  <si>
    <t>for easy recovery.</t>
  </si>
  <si>
    <t>Catalyst possibly in</t>
  </si>
  <si>
    <t>sintered bead form</t>
  </si>
  <si>
    <t xml:space="preserve">Add organic nitrogen to the Winwick bioreactor to bring the C:N ratio to ~25:1 </t>
  </si>
  <si>
    <t>Winwick Fischer-Tropsch Alkane Synthesis (WFTAS)</t>
  </si>
  <si>
    <t>Winwick Syngas Synthesis (WSS)</t>
  </si>
  <si>
    <t>HFR/Steam</t>
  </si>
  <si>
    <t>Catalyst: Ru/TiO2 if reqd.</t>
  </si>
  <si>
    <t>Syngas (CO+H2)</t>
  </si>
  <si>
    <t xml:space="preserve">Moomba, or from Innamincka Oil's recent discoveries nearby, increases the overall </t>
  </si>
  <si>
    <t>ROI substantially.</t>
  </si>
  <si>
    <t xml:space="preserve">The values of fuels have been taken from 16 June 2008 world price databases at a </t>
  </si>
  <si>
    <t>Assume that ongoing R&amp;D is 2% of Sales. Such an amount should allow considerable research into system optimisation, downstream or parallel biomass options, and widening &amp; extending the IP.</t>
  </si>
  <si>
    <t>The rotomoulded bedsit, storage and transport units are likely to be both highly applicable and of low cost as aboriginal housing and for use by other mining, tourism and pastoral industry.</t>
  </si>
  <si>
    <t>The third critical parameter is the market price of oil, now (22/6/08) ~AUD$144/bbl, but likely to increase to $210/bbl by 2010 and to nearly $320/bbl by 2017 in Dec 2007 $.</t>
  </si>
  <si>
    <t xml:space="preserve">fractured rock, then back to the surface. Typically, there is a profiled inner pipe within the </t>
  </si>
  <si>
    <t>these may activate only if the CO2 coming in is not balancing the O2 out, or on command.</t>
  </si>
  <si>
    <t>adopt at a Cooper Basin site, or at a facility nearer the coast. An inland source</t>
  </si>
  <si>
    <t xml:space="preserve">It appears feasible to use the 'free' high pressure and temperature of </t>
  </si>
  <si>
    <t>(petrol/biodiesel/jet fuel/residual fuel oil) and glycerine quickly.</t>
  </si>
  <si>
    <t>If profitable, glycerine can be transformed into biodiesel additives using microbes</t>
  </si>
  <si>
    <t>Yellow highlighted parameters are to be adjusted after better information.</t>
  </si>
  <si>
    <t>RFO may be ~15kg</t>
  </si>
  <si>
    <r>
      <t>(250</t>
    </r>
    <r>
      <rPr>
        <i/>
        <vertAlign val="superscript"/>
        <sz val="9"/>
        <rFont val="Times New Roman"/>
        <family val="0"/>
      </rPr>
      <t>0</t>
    </r>
    <r>
      <rPr>
        <i/>
        <sz val="9"/>
        <rFont val="Times New Roman"/>
        <family val="0"/>
      </rPr>
      <t xml:space="preserve">C) it is necessary to use fractionation under partial vacuum (~15mm of Hg) </t>
    </r>
  </si>
  <si>
    <t>Dec2007$, and by 2017 to ~USD$300/bbl despite the present price dip. (WBS forecast)</t>
  </si>
  <si>
    <t>Consider using ZIFs economically to extract CO2 from other gases.</t>
  </si>
  <si>
    <t>Is power + RECs</t>
  </si>
  <si>
    <t>PRO FORMA PROFIT &amp; LOSS STATEMENT - ESTIMATED YEARLY PROFIT/HECTARE OF PHYTOTUBE OR PHOTOSYNTHETIC AREA.</t>
  </si>
  <si>
    <r>
      <t xml:space="preserve"> @ 23</t>
    </r>
    <r>
      <rPr>
        <i/>
        <vertAlign val="superscript"/>
        <sz val="9"/>
        <rFont val="Times New Roman"/>
        <family val="0"/>
      </rPr>
      <t>O</t>
    </r>
    <r>
      <rPr>
        <i/>
        <sz val="9"/>
        <rFont val="Times New Roman"/>
        <family val="0"/>
      </rPr>
      <t xml:space="preserve">C, 60W/m2, 12 hr light, in 0.15 molar NaCl solution, assume this level.  </t>
    </r>
  </si>
  <si>
    <t>Note, that average lipid productivity for algae is ~11kg/m2/yr (Wikipedia:Algaculture)</t>
  </si>
  <si>
    <t xml:space="preserve">Prior to better info, an arbitrary figure of 15kWh has been inserted to represent the </t>
  </si>
  <si>
    <t xml:space="preserve">methanol to completely utilise the cheap O2/CO2 resource available from the </t>
  </si>
  <si>
    <t xml:space="preserve">bioreactors. The value for wellhead methane (CH4) is estimated as $0.38/kg (ex EGL). </t>
  </si>
  <si>
    <t>Methanol, as intermediate or final product, may easily become the dominant product.</t>
  </si>
  <si>
    <t xml:space="preserve">kg  </t>
  </si>
  <si>
    <t xml:space="preserve">The lighter methanol and fatty acid methyl esters (FAMES) may be decanted from </t>
  </si>
  <si>
    <t>as O2 not used on-site might need to be piped long distances or even be not sold.</t>
  </si>
  <si>
    <t>methane to get 99+%</t>
  </si>
  <si>
    <t>If sufficient methane can be locally sourced, the aim would be to produce enough</t>
  </si>
  <si>
    <t xml:space="preserve">Use heat-exchanging hot fluids coming from the HFR resource to heat the inputs to  </t>
  </si>
  <si>
    <t>Assume fractionating the inputs using HFR heat at these temperatures costs $4/tonne.</t>
  </si>
  <si>
    <t>are reusable, do not incur high recovery cost or neutralisation, or</t>
  </si>
  <si>
    <t xml:space="preserve">Adding heat, pressure, methanol and one or more catalysts as pre-mix </t>
  </si>
  <si>
    <t>have subsequent uses, such as algal/bacterial nutrients (e.g N, P, K, Si...) etc.</t>
  </si>
  <si>
    <t>helps transesterify the algal triglycerides rapidly into methyl esters</t>
  </si>
  <si>
    <t xml:space="preserve">or other methods. Otherwise, it can be transformed into many other valuable  </t>
  </si>
  <si>
    <t>cheap HFR heat.</t>
  </si>
  <si>
    <t>Until there is better information, assume that the power required is 220kWh to separate</t>
  </si>
  <si>
    <t xml:space="preserve">As the boiling points of the four higher C FAMES are higher than HFR temperatures </t>
  </si>
  <si>
    <t>Absorbants=</t>
  </si>
  <si>
    <t xml:space="preserve"> this amount of water, catalysts, absorbants, hydrocarbons &amp; esters using HFR heat</t>
  </si>
  <si>
    <t>and partial vacuum.</t>
  </si>
  <si>
    <t xml:space="preserve">The most critical two operational assumptions are the lipid productivity and longevity of Winwick bioreactors and the associated PV film, when in the field. </t>
  </si>
  <si>
    <t xml:space="preserve">It is estimated that 120 field staff may be able to maintain 144,000 bioreactors (see Capital model), with a proportion of   </t>
  </si>
  <si>
    <t>produce maximum growth in the next period, whilst avoiding serious growth inhibition.</t>
  </si>
  <si>
    <t>Assume only hi-value</t>
  </si>
  <si>
    <t>proteins recovered =4%</t>
  </si>
  <si>
    <t>total with value $5/kg.</t>
  </si>
  <si>
    <t>Both may increase &gt;&gt;</t>
  </si>
  <si>
    <t>but require supplem'n.</t>
  </si>
  <si>
    <t>The 'pollutants' would provide replacement nutrients in place of removed biomass protein &amp; co-products. Guestimate Other Revenue as being 3% of Sales.</t>
  </si>
  <si>
    <t>Assume Royalties are 1.2%/yr of bioreactor farm construction cost, including any replacements and on-farm infrastructure, until all related IP expires or the farm is retired. Royalties go to Corporate.</t>
  </si>
  <si>
    <t xml:space="preserve">from Moomba for the production of methanol. Using additional methane from </t>
  </si>
  <si>
    <t>Do WHAT IFs for 50% &amp; 75% external methane.</t>
  </si>
  <si>
    <t>five (5) atmospheres pressure.</t>
  </si>
  <si>
    <t>Pressure difference sensors help determine when O2 is pumped from a bioreactor, or</t>
  </si>
  <si>
    <t xml:space="preserve"> harvest 1,078kg of algae into a wet, easily pumpable slurry.</t>
  </si>
  <si>
    <t xml:space="preserve">Mobil's methanol-to-gasoline process may also be considered advantageous to </t>
  </si>
  <si>
    <t>much of the jet fuel and biodiesel do not require partial vacuum, so the cost is</t>
  </si>
  <si>
    <t xml:space="preserve">Check if O2 left in phytotubes at dusk is sufficient to maintain algal respiration </t>
  </si>
  <si>
    <t xml:space="preserve">the drillhole; and lipids through various heat exchangers and drillhole.  </t>
  </si>
  <si>
    <t>The incompletely converted reagents may also be recycled or sold .</t>
  </si>
  <si>
    <t>CO2+steam</t>
  </si>
  <si>
    <t>~free as recycled</t>
  </si>
  <si>
    <t>from algae</t>
  </si>
  <si>
    <t>from wells &amp; digestor</t>
  </si>
  <si>
    <t>industrial users or for export, using largely existing Santos' pipeline infrastructure.</t>
  </si>
  <si>
    <t>vehicles and devices. They are likely to become major transport and device fuels.</t>
  </si>
  <si>
    <t>deep HFR drillholes to improve methanol production economics massively.</t>
  </si>
  <si>
    <t>Other revenue sources might be from sales of rotomoulded products, biomass by-products, foreground IP, waste product acceptance, etc.</t>
  </si>
  <si>
    <t xml:space="preserve">The power usage includes that required to pump:  the slurry and lipids through </t>
  </si>
  <si>
    <t>Profits should increase much more than proportionately as the oil price rises.</t>
  </si>
  <si>
    <t xml:space="preserve">Phytotube area is the effective photosynthetic collection area. </t>
  </si>
  <si>
    <t>field assistance from, say, 10 flying squad members, to handle surges and incidents. Flying squad members would move from farm to farm as required.</t>
  </si>
  <si>
    <t>HFR pipe casing making it 2-way. Profiling controls pressure change, velocity and mixing.</t>
  </si>
  <si>
    <t>INTEREST @ 12% on borrowed capital=</t>
  </si>
  <si>
    <t>TAXES &amp; CHARGES=</t>
  </si>
  <si>
    <t>NET  PBIT=</t>
  </si>
  <si>
    <t>Press=1-0.02atm</t>
  </si>
  <si>
    <r>
      <t xml:space="preserve">Temp=65-220 </t>
    </r>
    <r>
      <rPr>
        <vertAlign val="superscript"/>
        <sz val="9"/>
        <rFont val="Times New Roman"/>
        <family val="0"/>
      </rPr>
      <t>0</t>
    </r>
    <r>
      <rPr>
        <sz val="9"/>
        <rFont val="Times New Roman"/>
        <family val="0"/>
      </rPr>
      <t>C</t>
    </r>
  </si>
  <si>
    <t>if possible</t>
  </si>
  <si>
    <t xml:space="preserve">Assume $4 of reagents &amp; catalysts are required. Try to select chemicals that </t>
  </si>
  <si>
    <r>
      <t>CO</t>
    </r>
    <r>
      <rPr>
        <vertAlign val="subscript"/>
        <sz val="9"/>
        <rFont val="Times New Roman"/>
        <family val="0"/>
      </rPr>
      <t>2</t>
    </r>
    <r>
      <rPr>
        <sz val="9"/>
        <rFont val="Times New Roman"/>
        <family val="0"/>
      </rPr>
      <t xml:space="preserve"> sequestr'n</t>
    </r>
  </si>
  <si>
    <t>Biodiesel</t>
  </si>
  <si>
    <t>Total Expenses=</t>
  </si>
  <si>
    <t>See Note 13</t>
  </si>
  <si>
    <t>Consider making excess methanol for sale as this system may have significant  price advantages over other producers.</t>
  </si>
  <si>
    <t>Use O2/CO2 ex bioreactor</t>
  </si>
  <si>
    <t>REVENUE</t>
  </si>
  <si>
    <t>Sales revenue</t>
  </si>
  <si>
    <t>Other revenue</t>
  </si>
  <si>
    <t>cellwalls</t>
  </si>
  <si>
    <t>heat</t>
  </si>
  <si>
    <t>power</t>
  </si>
  <si>
    <t>Algal slurry</t>
  </si>
  <si>
    <t>See Note 8 and Capital model</t>
  </si>
  <si>
    <t>%</t>
  </si>
  <si>
    <t>Revenue$</t>
  </si>
  <si>
    <t>The method of calculation will be to add those costs from the Capital model that are relevant only to the capital costs of the bioreactor farm itself.</t>
  </si>
  <si>
    <t xml:space="preserve">gibber plain near Innamincka. The advantages of the location include: access to key </t>
  </si>
  <si>
    <t>Thus, staff costs per bioreactor would be 182x94,500/144,000 = $119.44/yr or $5,972/Ha/yr of phytotube.</t>
  </si>
  <si>
    <t>sparger uses the O2/CO2 gas mix from above the algal soup.</t>
  </si>
  <si>
    <t>The small-bubble, carbonating sparger uses CO2, the large-bubble, harvesting</t>
  </si>
  <si>
    <t>One 2.5x100m bioreactor contains approximately 4x0.5x100= 200m2 of phytotube. Thus, 50 bioreactors are required to make a hectare of phytotube or photosynthetic area.</t>
  </si>
  <si>
    <t>with several hinterland offtakes, would save considerable fuel distribution cost &amp; GHG.</t>
  </si>
  <si>
    <t>Although this is hardly a relevant measure when considering growing algae on unused gibber plain, it will be estimated here for comparative purposes.</t>
  </si>
  <si>
    <t xml:space="preserve">The first bioreactor farm is to be beside the blocked Habanero#2 HFR drillhole on 'free'  </t>
  </si>
  <si>
    <t>~50% discounted</t>
  </si>
  <si>
    <t xml:space="preserve">infrastructure, carbon-neutral heat, concentrated carbon dioxide &amp; methane piped </t>
  </si>
  <si>
    <t>minimised. The heaviest and smallest fraction, residual fuel oil (RFO), may be left</t>
  </si>
  <si>
    <t xml:space="preserve">products, including being refined into pharmaceutical grade glycerine, using  </t>
  </si>
  <si>
    <t>Absorbant</t>
  </si>
  <si>
    <t>temperature heat several times over for progressively lower temperature fractionations.</t>
  </si>
  <si>
    <t xml:space="preserve">major emitters, via Santos' planned CO2 geosequestration pipeline(s). </t>
  </si>
  <si>
    <t>to achieve full separation. However, the major fractions of methanol and petrol, and</t>
  </si>
  <si>
    <t>Outputs:</t>
  </si>
  <si>
    <t>CH3OH or</t>
  </si>
  <si>
    <t>C2</t>
  </si>
  <si>
    <t>C2.1</t>
  </si>
  <si>
    <t>C2.2</t>
  </si>
  <si>
    <t>Catalyst= 1st step Ni,</t>
  </si>
  <si>
    <t>?CO</t>
  </si>
  <si>
    <t>Unreacted</t>
  </si>
  <si>
    <t>Select right O2/CO2 ratio from bioreactor</t>
  </si>
  <si>
    <t>Surfactant, if reqd</t>
  </si>
  <si>
    <t>See Notes 1, 4 &amp; Capital model</t>
  </si>
  <si>
    <t>EXPENSES</t>
  </si>
  <si>
    <t>Insurance=</t>
  </si>
  <si>
    <t>Minimal. Use to make methanol w CH4 or sell</t>
  </si>
  <si>
    <t>See Notes 1, 12 and above</t>
  </si>
  <si>
    <t xml:space="preserve">the bioreactors. Their larvae might grow unchecked there, consuming the algae </t>
  </si>
  <si>
    <t>and causing other problems.</t>
  </si>
  <si>
    <t>It is even conceivable that sewage and industrial pollutants from major Australian cities (as well as CO2 already planned) will be pumped there, so their true economic value can be realised</t>
  </si>
  <si>
    <t>slurry centrifugation and electrophoresis. If no chemicals are required, use their cost</t>
  </si>
  <si>
    <t>Assume that weekly average petrol prices on 3/2/08 in Hay and Broken Hill compared to the cheapest in NSW (Casino) are typical for distribution cost at an 8.4% differential.</t>
  </si>
  <si>
    <t>fractionation temperatures, thereby saving considerable cost. Re-use the higher</t>
  </si>
  <si>
    <t>Assume that Other chemicals cost $8 and absorbant $2 to process this amount of</t>
  </si>
  <si>
    <t xml:space="preserve"> hydrocarbons. Select catalysts and reagents having later uses or which are recyclable.</t>
  </si>
  <si>
    <t>Oxygen</t>
  </si>
  <si>
    <t>Ord diesel price</t>
  </si>
  <si>
    <t xml:space="preserve">for 90% pure O2,  from Air Liquide and Oxymat oxygen concentrators and a power </t>
  </si>
  <si>
    <t>Until better knowledge, the power input is guessed at 30kWh for this amount of algal</t>
  </si>
  <si>
    <t xml:space="preserve">See Capital model where amortisation is ~$1,173/bioreactor/yr, including off-farm PPE. </t>
  </si>
  <si>
    <t>For Taxes &amp; Charges, sum a corporate tax of 30% on NPBIT, plus non-reclaimable GST of 1.2% on Total Revenue, plus 2% of Capital Employed.</t>
  </si>
  <si>
    <t>a boost may be required to attain sufficiently high temperatures. If higher temperatures</t>
  </si>
  <si>
    <t xml:space="preserve">are required, it may be possible that CH4 burnt in 90% pure O2 could provide the </t>
  </si>
  <si>
    <t>C8:0-C18:0</t>
  </si>
  <si>
    <r>
      <t>Requires temperatures &gt;700</t>
    </r>
    <r>
      <rPr>
        <i/>
        <vertAlign val="superscript"/>
        <sz val="10"/>
        <rFont val="Verdana"/>
        <family val="0"/>
      </rPr>
      <t>0</t>
    </r>
    <r>
      <rPr>
        <i/>
        <sz val="10"/>
        <rFont val="Verdana"/>
        <family val="0"/>
      </rPr>
      <t>C</t>
    </r>
  </si>
  <si>
    <t>Use CH4 from local oil/gas wells</t>
  </si>
  <si>
    <t>Pressure=1 atm</t>
  </si>
  <si>
    <t>Nutrients=</t>
  </si>
  <si>
    <t>NOTES:</t>
  </si>
  <si>
    <t>DESCENDING COST AND REVENUE BY INPUT AND OUTPUT - netted figures</t>
  </si>
  <si>
    <t>See Note 2.</t>
  </si>
  <si>
    <t>HFR heat</t>
  </si>
  <si>
    <t>select a surfactant that can double as a gelator or nutrient replacement.</t>
  </si>
  <si>
    <t xml:space="preserve">Ascertain if it is possible to accomplish both these processes in the one pass through an HFR drillhole </t>
  </si>
  <si>
    <t>Assume that Other Overheads represent 50% of Staff costs = 0.5x$5,972 = $2,986/Ha of phytotube.</t>
  </si>
  <si>
    <t xml:space="preserve">Other operating expenses = </t>
  </si>
  <si>
    <t>See Note 6.</t>
  </si>
  <si>
    <t>See Note 7.</t>
  </si>
  <si>
    <t>Royalties=</t>
  </si>
  <si>
    <t>R&amp;D=</t>
  </si>
  <si>
    <t>See Note 9</t>
  </si>
  <si>
    <t xml:space="preserve">Assume that the power that is recovered from the HFR steam is 10kWh. </t>
  </si>
  <si>
    <t>It is particularly important to prevent mosquitos and other algavores from entering</t>
  </si>
  <si>
    <t>CO2 and CH4 from Moomba or an equivalent oil/gas field or source. However, a</t>
  </si>
  <si>
    <t>Amount</t>
  </si>
  <si>
    <t>Measure</t>
  </si>
  <si>
    <t>Input</t>
  </si>
  <si>
    <t>Output</t>
  </si>
  <si>
    <t xml:space="preserve">Harvesting should leave just that concentration of algal inoculum sufficient to </t>
  </si>
  <si>
    <t xml:space="preserve">HFR is treatment by pumping liquid deep underground in pipes possibly surrounded by hot </t>
  </si>
  <si>
    <t xml:space="preserve">making biomass efficiently and sequestering carbon, instead of wasting the concentrated resource by polluting the marine environment with it. </t>
  </si>
  <si>
    <t>Estimate the HFR charge to heat and de-steam the lipids as $2/tonne.</t>
  </si>
  <si>
    <t>global estimate for all Distribution costs has been included in the P&amp;L statement.</t>
  </si>
  <si>
    <t>GDY = Geodynamics, STO = Santos.</t>
  </si>
  <si>
    <t xml:space="preserve">Given the variabilities of system and site regarding effective photosynthetic area, a better measure might be to use the capital cost of this - as is done below. </t>
  </si>
  <si>
    <t>Brought to $ value /yr/hectare of phytotube</t>
  </si>
  <si>
    <t>Bioreactor /year</t>
  </si>
  <si>
    <t>Converts 2,288kg of CO2</t>
  </si>
  <si>
    <t>Assume that Other Operating Expenses represent 200% of Staff costs = 2x$5,972 = $11,944/Ha of phytotube; noting that the Cost of Inputs already includes most operating expenses.</t>
  </si>
  <si>
    <r>
      <t>pressure and 250</t>
    </r>
    <r>
      <rPr>
        <i/>
        <vertAlign val="superscript"/>
        <sz val="9"/>
        <rFont val="Times New Roman"/>
        <family val="0"/>
      </rPr>
      <t>0</t>
    </r>
    <r>
      <rPr>
        <i/>
        <sz val="9"/>
        <rFont val="Times New Roman"/>
        <family val="0"/>
      </rPr>
      <t>C temperatures provides a novel production technology.</t>
    </r>
  </si>
  <si>
    <t xml:space="preserve">However, the proximity of deep HFR drillholes providing 'free' 1000atm+ </t>
  </si>
  <si>
    <t>Residual</t>
  </si>
  <si>
    <t>Electric</t>
  </si>
  <si>
    <t>Inputs:</t>
  </si>
  <si>
    <t>See Note 10.</t>
  </si>
  <si>
    <t>IVO=internal value only, not sold</t>
  </si>
  <si>
    <t>IVO</t>
  </si>
  <si>
    <t>Total revenue</t>
  </si>
  <si>
    <t>Other overheads =</t>
  </si>
  <si>
    <t>CAPITAL EMPLOYED=</t>
  </si>
  <si>
    <t>Assume that the ratio of these 130 field staff to Campus+Other+Contractor+Corporate staff is 1:0.4, making 130x1.4=182 staff.</t>
  </si>
  <si>
    <t>Resid'l oil</t>
  </si>
  <si>
    <t>TOTAL</t>
  </si>
  <si>
    <t>NET CONTRIBUTION</t>
  </si>
  <si>
    <t>Val$/unit</t>
  </si>
  <si>
    <t>kg</t>
  </si>
  <si>
    <r>
      <t>3(CH</t>
    </r>
    <r>
      <rPr>
        <vertAlign val="subscript"/>
        <sz val="9"/>
        <rFont val="Times New Roman"/>
        <family val="0"/>
      </rPr>
      <t>X</t>
    </r>
    <r>
      <rPr>
        <sz val="9"/>
        <rFont val="Times New Roman"/>
        <family val="0"/>
      </rPr>
      <t>OOCR</t>
    </r>
    <r>
      <rPr>
        <vertAlign val="subscript"/>
        <sz val="9"/>
        <rFont val="Times New Roman"/>
        <family val="0"/>
      </rPr>
      <t>n</t>
    </r>
    <r>
      <rPr>
        <sz val="9"/>
        <rFont val="Times New Roman"/>
        <family val="0"/>
      </rPr>
      <t>)</t>
    </r>
  </si>
  <si>
    <r>
      <t>C</t>
    </r>
    <r>
      <rPr>
        <vertAlign val="subscript"/>
        <sz val="9"/>
        <rFont val="Times New Roman"/>
        <family val="0"/>
      </rPr>
      <t>3</t>
    </r>
    <r>
      <rPr>
        <sz val="9"/>
        <rFont val="Times New Roman"/>
        <family val="0"/>
      </rPr>
      <t>H</t>
    </r>
    <r>
      <rPr>
        <vertAlign val="subscript"/>
        <sz val="9"/>
        <rFont val="Times New Roman"/>
        <family val="0"/>
      </rPr>
      <t>5</t>
    </r>
    <r>
      <rPr>
        <sz val="9"/>
        <rFont val="Times New Roman"/>
        <family val="0"/>
      </rPr>
      <t>(OH)</t>
    </r>
    <r>
      <rPr>
        <vertAlign val="subscript"/>
        <sz val="9"/>
        <rFont val="Times New Roman"/>
        <family val="0"/>
      </rPr>
      <t>3</t>
    </r>
  </si>
  <si>
    <t>NET PROFIT=</t>
  </si>
  <si>
    <t>to fractionator</t>
  </si>
  <si>
    <t>f</t>
  </si>
  <si>
    <t>d</t>
  </si>
  <si>
    <t>Assume that all staff are paid an average of $70,000/yr with superannuation and on-costs of 35% = $94,500/yr @ Dec07 prices.</t>
  </si>
  <si>
    <t>See too if can include the methanol production process below too (much less likely)</t>
  </si>
  <si>
    <t>If neither, then use the three C processes below.</t>
  </si>
  <si>
    <r>
      <t>R</t>
    </r>
    <r>
      <rPr>
        <vertAlign val="subscript"/>
        <sz val="10"/>
        <rFont val="Verdana"/>
        <family val="0"/>
      </rPr>
      <t>n</t>
    </r>
    <r>
      <rPr>
        <sz val="10"/>
        <rFont val="Verdana"/>
        <family val="0"/>
      </rPr>
      <t>COOCH3</t>
    </r>
  </si>
  <si>
    <t>See Notes 1, 3 &amp; Capital model</t>
  </si>
  <si>
    <t>See Capital model</t>
  </si>
  <si>
    <t>Source: Toda et al. "Biodiesel made with sugar catalyst" Nature 438:178.</t>
  </si>
  <si>
    <t>Cost of inputs =</t>
  </si>
  <si>
    <t>conversion.</t>
  </si>
  <si>
    <t>Ord jet fuel price</t>
  </si>
  <si>
    <t>Ord petrol price</t>
  </si>
  <si>
    <t>Ord RFO price.</t>
  </si>
  <si>
    <t>Ord methanol price</t>
  </si>
  <si>
    <t xml:space="preserve"> to harvest that day's algal growth just before sunset. Alternatively, it may</t>
  </si>
  <si>
    <t>kg pumped through</t>
  </si>
  <si>
    <t>Transesterification</t>
  </si>
  <si>
    <t>Catalyst</t>
  </si>
  <si>
    <t>Methanol Production</t>
  </si>
  <si>
    <t>syngas</t>
  </si>
  <si>
    <t>makes</t>
  </si>
  <si>
    <t>CO+H2</t>
  </si>
  <si>
    <t>methanol</t>
  </si>
  <si>
    <t>generation</t>
  </si>
  <si>
    <t>residual heat</t>
  </si>
  <si>
    <t>warms bioreactor</t>
  </si>
  <si>
    <t>Glycerine</t>
  </si>
  <si>
    <t>Power kWh</t>
  </si>
  <si>
    <t>~free from HFR</t>
  </si>
  <si>
    <t>Press=?</t>
  </si>
  <si>
    <t xml:space="preserve">The costs of fuel hydrocarbon distribution are difficult to estimate with any accuracy in advance as they depend on so many factors. </t>
  </si>
  <si>
    <t>See Note 14.</t>
  </si>
  <si>
    <t>Cost $</t>
  </si>
  <si>
    <t>Methanol</t>
  </si>
  <si>
    <t>Nutrients</t>
  </si>
  <si>
    <t>Catalysts+</t>
  </si>
  <si>
    <t>Methanol is also formed through bacterial anaerobic digestion. Should we use this?</t>
  </si>
  <si>
    <t>Temp=</t>
  </si>
  <si>
    <t>Use electrophoresis, pH, combination or adsorption to separate the aqueous proteins+.</t>
  </si>
  <si>
    <t>HFR pressure only</t>
  </si>
  <si>
    <t>Moreover, with aqueous processes there can be problems with saponification,</t>
  </si>
  <si>
    <t>Amortisation costs=</t>
  </si>
  <si>
    <t>Labour costs:</t>
  </si>
  <si>
    <t>See above</t>
  </si>
  <si>
    <t>Other</t>
  </si>
  <si>
    <t>Petrol</t>
  </si>
  <si>
    <t>cellwalls (carbohydrates)</t>
  </si>
  <si>
    <t>Sum of</t>
  </si>
  <si>
    <t>Staff costs=</t>
  </si>
  <si>
    <t>See Note 11.</t>
  </si>
  <si>
    <t xml:space="preserve">Thus, take Distribution cost to/from the Innamincka region as being 8.4% of Sales. </t>
  </si>
  <si>
    <t xml:space="preserve">Methanol excess to transesterification requirements may be piped to Australian </t>
  </si>
  <si>
    <t>Distribution=</t>
  </si>
  <si>
    <t>methyl esters</t>
  </si>
  <si>
    <t>These will actually occupy roughly two to four hectares, depending on bioreactor spacing and the relevant gibber plain's characteristics and other infrastructure.</t>
  </si>
  <si>
    <t>Pumping, HFR Heating and Transesterification</t>
  </si>
  <si>
    <t>Chemicals if required</t>
  </si>
  <si>
    <t>the renewable energy value of power will have increased in real terms to $0.100/kWh.</t>
  </si>
  <si>
    <t>command a premium.</t>
  </si>
  <si>
    <t>ordinary fuel values.</t>
  </si>
  <si>
    <t>Here conservatively use</t>
  </si>
  <si>
    <t xml:space="preserve">However, biofuels often </t>
  </si>
  <si>
    <t>others available from One-synergy, Starchem, DavyProtech,  etc.</t>
  </si>
  <si>
    <t>CAPITAL COST PER HECTARE OF BIOREACTOR FARM</t>
  </si>
  <si>
    <t>Press=1 atm</t>
  </si>
  <si>
    <t>Power in kWh</t>
  </si>
  <si>
    <t>Enzymes=</t>
  </si>
  <si>
    <t>g</t>
  </si>
  <si>
    <t>Press=10-20 atm</t>
  </si>
  <si>
    <r>
      <t xml:space="preserve">Temp=850 </t>
    </r>
    <r>
      <rPr>
        <vertAlign val="superscript"/>
        <sz val="10"/>
        <rFont val="Verdana"/>
        <family val="0"/>
      </rPr>
      <t>0</t>
    </r>
    <r>
      <rPr>
        <sz val="10"/>
        <rFont val="Verdana"/>
        <family val="0"/>
      </rPr>
      <t>C</t>
    </r>
  </si>
  <si>
    <t>2nd Cu/ZnO/Al2O3</t>
  </si>
  <si>
    <t>Catalyst=</t>
  </si>
  <si>
    <t>recycle</t>
  </si>
  <si>
    <t>Studies of other algae-producing systems have emphasised cost per hectare, typically excluding operating, processing, and some infrastructure costs.</t>
  </si>
  <si>
    <t>Lipids</t>
  </si>
  <si>
    <t>recycle balance to digestor</t>
  </si>
  <si>
    <t>negl.</t>
  </si>
  <si>
    <t>Refine these estimates using chem engineering &amp; industrial knowhow.</t>
  </si>
  <si>
    <t>Reagents, Catalysts</t>
  </si>
  <si>
    <r>
      <t xml:space="preserve">Temp=60-107 </t>
    </r>
    <r>
      <rPr>
        <vertAlign val="superscript"/>
        <sz val="9"/>
        <rFont val="Times New Roman"/>
        <family val="0"/>
      </rPr>
      <t>0</t>
    </r>
    <r>
      <rPr>
        <sz val="9"/>
        <rFont val="Times New Roman"/>
        <family val="0"/>
      </rPr>
      <t>C</t>
    </r>
  </si>
  <si>
    <t>Press=1-5atm.</t>
  </si>
  <si>
    <t>Catalysts=tbd</t>
  </si>
  <si>
    <t>Residence time= tbd, &lt;12 mins</t>
  </si>
  <si>
    <t>Cascaded reuse</t>
  </si>
  <si>
    <t>C3H5(OH)3</t>
  </si>
  <si>
    <t>ROI will be less high initially and greater subsequently, due to the fact that some investment will take some years to reach maximum payout.</t>
  </si>
  <si>
    <t>See Note 5.</t>
  </si>
  <si>
    <t>decompression to occur. Both processes rupture algal cell walls and internal vesicles.</t>
  </si>
  <si>
    <t>FAMES</t>
  </si>
  <si>
    <t>Proteins+</t>
  </si>
  <si>
    <t>Assess the detriment of different levels of nitrogen+ components in the CO2 feed.</t>
  </si>
  <si>
    <t xml:space="preserve">Here, it is gas and changing pressure that cause hydrodynamic decavitation and explosive  </t>
  </si>
  <si>
    <t>when utilising HFR. Assume the HFR cost is $5/tonne to heat and pump.</t>
  </si>
  <si>
    <t>Rupturing Cells and Transesterification</t>
  </si>
  <si>
    <t>Rupturing Cells</t>
  </si>
  <si>
    <t>Algae</t>
  </si>
  <si>
    <t>AMOUNT</t>
  </si>
  <si>
    <t>VALUE$</t>
  </si>
  <si>
    <t>MATERIALS</t>
  </si>
  <si>
    <t>VAL$/UNIT</t>
  </si>
  <si>
    <t>Power</t>
  </si>
  <si>
    <t>x</t>
  </si>
  <si>
    <t>q</t>
  </si>
  <si>
    <t>r</t>
  </si>
  <si>
    <t>j</t>
  </si>
  <si>
    <t>k</t>
  </si>
  <si>
    <t>A1</t>
  </si>
  <si>
    <t>B1</t>
  </si>
  <si>
    <t>Capital employed/Ha of bioreactor farm (excls off-farm investment)</t>
  </si>
  <si>
    <t>Recycle unreacted</t>
  </si>
  <si>
    <t xml:space="preserve">As the power is generated at site by the photovoltaic (PV) films on each bioreactor, </t>
  </si>
  <si>
    <t xml:space="preserve">its main cost is represented elsewhere under depreciation and maintenance. </t>
  </si>
  <si>
    <t>Concentrated</t>
  </si>
  <si>
    <t>Water</t>
  </si>
  <si>
    <t xml:space="preserve">The actual oxygen output will include 10% of CO2 that the algae were </t>
  </si>
  <si>
    <t xml:space="preserve">Guestimated royalty cost of passing algal slurry through HFR pipes is $2/dry </t>
  </si>
  <si>
    <t>Geodynamics Ltd may care to extract this power and sell it as their own.</t>
  </si>
  <si>
    <t xml:space="preserve">Until more accurate information is obtained, an arbitrary figure of $15 has  </t>
  </si>
  <si>
    <t xml:space="preserve">NOTES:                   </t>
  </si>
  <si>
    <t>Notes:</t>
  </si>
  <si>
    <t>Conditions:</t>
  </si>
  <si>
    <t>interscience.wiley.com/cgi-bin/abstract/107620334/?CRETRY=1&amp;SRETRY=0</t>
  </si>
  <si>
    <t>By this process, biodiesel is comprised of FAME=fatty methyl esters ~16-18Cs long</t>
  </si>
  <si>
    <t>Harvesting Algae</t>
  </si>
  <si>
    <t>C1</t>
  </si>
  <si>
    <t>D1</t>
  </si>
  <si>
    <t>E1</t>
  </si>
  <si>
    <t>O2/CO2</t>
  </si>
  <si>
    <t>CH3OH</t>
  </si>
  <si>
    <t>HFR</t>
  </si>
  <si>
    <t>w</t>
  </si>
  <si>
    <t>y</t>
  </si>
  <si>
    <t>z</t>
  </si>
  <si>
    <t>rupturant</t>
  </si>
  <si>
    <t>C2.3</t>
  </si>
  <si>
    <t>recycle as nutrient for new bioreactors</t>
  </si>
  <si>
    <t>Press=</t>
  </si>
  <si>
    <t>Catalysts=KOH/Ni/Cu etc.</t>
  </si>
  <si>
    <t xml:space="preserve">Confirm that the sparge plate system is capable of both carbonating  </t>
  </si>
  <si>
    <t>5CH4</t>
  </si>
  <si>
    <t>O2 with 10%CO2 (include with other CO2)</t>
  </si>
  <si>
    <t>6CH3OH</t>
  </si>
  <si>
    <t>Reaction may be: 5CH4+4H2O+CO2+O2-&gt;6CO+12H2-&gt;6CH3OH</t>
  </si>
  <si>
    <t>Different algal strains for either lipid production or nitrogen fixation are</t>
  </si>
  <si>
    <t>Temp=?</t>
  </si>
  <si>
    <t>Temp=Ambient</t>
  </si>
  <si>
    <t>kWh</t>
  </si>
  <si>
    <t xml:space="preserve">$ </t>
  </si>
  <si>
    <t>biodiesel is transesterification. The process can require costly</t>
  </si>
  <si>
    <t xml:space="preserve"> losses, purification, catalyst and water removal.</t>
  </si>
  <si>
    <t xml:space="preserve">Therefore, they are the ones for which experimental validation and improvement are most crucial. </t>
  </si>
  <si>
    <t>See Christian Fleisher's Biodiesel Technologies Inc., Cornell U. for a novel continuous "plug flow" reactor process</t>
  </si>
  <si>
    <t>KOH or sodium ethanolate</t>
  </si>
  <si>
    <t>Algal</t>
  </si>
  <si>
    <t>other</t>
  </si>
  <si>
    <t>carbohydrate</t>
  </si>
  <si>
    <t>components</t>
  </si>
  <si>
    <t>if reqd</t>
  </si>
  <si>
    <t xml:space="preserve">More HFR </t>
  </si>
  <si>
    <t>Surfactant=</t>
  </si>
  <si>
    <t>Guestimate that 15kWh of electric power is sufficient to froth-flotate and</t>
  </si>
  <si>
    <t>Until better information is available, guestimate the power requirement as</t>
  </si>
  <si>
    <t xml:space="preserve">Here, it will be more effective to heat the lipids on the surface via heat exchange </t>
  </si>
  <si>
    <t>processes with the fluid used in GDY's Kalina Cycle process for power generation.</t>
  </si>
  <si>
    <t>Possibly use a separate fractionation and/or washing process to refine the glycerine.</t>
  </si>
  <si>
    <t>Proportions of fuel products are taken from http://www3.</t>
  </si>
  <si>
    <t>Some outputs may also require adsorbants to separate, dry or purify them.</t>
  </si>
  <si>
    <t>The transesterification reaction requires excess methanol to drive it. This is recycled.</t>
  </si>
  <si>
    <t xml:space="preserve">Moreover, as they tend to use valuable land, they tend to compare projects by capital cost per hectare. </t>
  </si>
  <si>
    <t>Heat</t>
  </si>
  <si>
    <t>to digestor</t>
  </si>
  <si>
    <t>ROI% =</t>
  </si>
  <si>
    <t>CH4</t>
  </si>
  <si>
    <t>KOH</t>
  </si>
  <si>
    <t>Chemicals</t>
  </si>
  <si>
    <t>by staggering the bioreactors being harvested at any one time.</t>
  </si>
  <si>
    <t>Low temp catalysts=NaH-Na alkanoate + Ni(11) acetate + Mo/Cr carbonyl,  or Zn chromate</t>
  </si>
  <si>
    <t>Would require a dedicated, blind HFR drillhole and access to HFR heat exchangers.</t>
  </si>
  <si>
    <t>Elsewhere one may use solar pond heat or other, preferably waste heat, sources.</t>
  </si>
  <si>
    <t xml:space="preserve">By June 2011, the price of crude oil is expected to increase to ~USD$200/bbl in </t>
  </si>
  <si>
    <t>unfractionated, but it may require filtration and/or catalyst removal. The RFO can</t>
  </si>
  <si>
    <t xml:space="preserve">either be sold directly or locally transformed into light fractions, bitumen and char. </t>
  </si>
  <si>
    <t xml:space="preserve">lengths (400-700nm) and 60 W/m2 for 12 hours/day inside the bioreactor. </t>
  </si>
  <si>
    <t xml:space="preserve">Light for algae is optimal at photosynthetically active radiation (PAR) wave- </t>
  </si>
  <si>
    <t xml:space="preserve">The endothermic reaction may benefit from low-cost HFR heat input, although </t>
  </si>
  <si>
    <t xml:space="preserve">Use of costly membranous techniques to de-nitrify and concentrate oxygen </t>
  </si>
  <si>
    <t>is avoided by employing O2/CO2 from bioreactors and CO2 from wells or</t>
  </si>
  <si>
    <t xml:space="preserve">from the remunerative sequestration of industrial CO2 piped to the site from </t>
  </si>
  <si>
    <t>necessary temperature boost cheaply, from local resources. Re-use the CO2.</t>
  </si>
  <si>
    <t>better suit the other processing stages to harvest more frequently, possibly</t>
  </si>
  <si>
    <t xml:space="preserve">There are many proprietary methods and catalysts for methanol production. </t>
  </si>
  <si>
    <t>Aquaculture of Algae in a Winwick bioreactor with photovoltaic control of insolation</t>
  </si>
  <si>
    <r>
      <t xml:space="preserve">Temp=say 60 </t>
    </r>
    <r>
      <rPr>
        <vertAlign val="superscript"/>
        <sz val="9"/>
        <rFont val="Times New Roman"/>
        <family val="0"/>
      </rPr>
      <t>0</t>
    </r>
    <r>
      <rPr>
        <sz val="9"/>
        <rFont val="Times New Roman"/>
        <family val="0"/>
      </rPr>
      <t xml:space="preserve">C but could be up to 180 </t>
    </r>
    <r>
      <rPr>
        <vertAlign val="superscript"/>
        <sz val="9"/>
        <rFont val="Times New Roman"/>
        <family val="0"/>
      </rPr>
      <t>0</t>
    </r>
    <r>
      <rPr>
        <sz val="9"/>
        <rFont val="Times New Roman"/>
        <family val="0"/>
      </rPr>
      <t>C</t>
    </r>
  </si>
  <si>
    <t>Press=highly variable</t>
  </si>
  <si>
    <r>
      <t>The cost of HFR warming to 60</t>
    </r>
    <r>
      <rPr>
        <i/>
        <vertAlign val="superscript"/>
        <sz val="9"/>
        <rFont val="Times New Roman"/>
        <family val="0"/>
      </rPr>
      <t>0</t>
    </r>
    <r>
      <rPr>
        <i/>
        <sz val="9"/>
        <rFont val="Times New Roman"/>
        <family val="0"/>
      </rPr>
      <t>C via heat exchanger is found under D1.</t>
    </r>
  </si>
  <si>
    <t xml:space="preserve">The typical method used to transform algal and vegetable lipids or tallow into </t>
  </si>
  <si>
    <t>overnight. May need to cost in supplementation. Using the average of values</t>
  </si>
  <si>
    <t>in kg or kWh.</t>
  </si>
  <si>
    <t xml:space="preserve">Methanol and ethanol are prospective, low-polluting fuels for fuel-cell/electric  </t>
  </si>
  <si>
    <t>Source: ?Lewis</t>
  </si>
  <si>
    <t>FU Masterclass</t>
  </si>
  <si>
    <t>PUFAs</t>
  </si>
  <si>
    <t>Omega3 FAs @$6k/kg</t>
  </si>
  <si>
    <t>Use all O2 for WSS or</t>
  </si>
  <si>
    <t>methanol or sale. Poss</t>
  </si>
  <si>
    <t>get more from WFTAS</t>
  </si>
  <si>
    <t>Press=15-1000atm, expect 200-500atm will be sufficient.</t>
  </si>
  <si>
    <r>
      <t>Temp=80-800</t>
    </r>
    <r>
      <rPr>
        <vertAlign val="superscript"/>
        <sz val="9"/>
        <rFont val="Times New Roman"/>
        <family val="0"/>
      </rPr>
      <t>0</t>
    </r>
    <r>
      <rPr>
        <sz val="9"/>
        <rFont val="Times New Roman"/>
        <family val="0"/>
      </rPr>
      <t>C unless there are new, lower temperature techniques available using &lt;230 C.</t>
    </r>
  </si>
  <si>
    <t>Catalyst=Cu+Ni+ZnO+Al2O3.xH2O</t>
  </si>
  <si>
    <t xml:space="preserve">forecast 20/8/08 for 2020 that the CCS (C-sequestered) power generation cost as being: </t>
  </si>
  <si>
    <t xml:space="preserve">black coal $0.089/kWh, gas 0.125, and nuclear 0.073. Thus, assume that by mid 2013 </t>
  </si>
  <si>
    <t xml:space="preserve">Geodynamics estimate the generation cost of HFR electricity at Innamincka in 2020 as  </t>
  </si>
  <si>
    <t xml:space="preserve">Both PET and polythene has good transparency to all visible frequencies and to IR.  </t>
  </si>
  <si>
    <t xml:space="preserve">A separate, shallow, 70m deep drillhole would be sufficient to deliver in excess of </t>
  </si>
  <si>
    <t>REC = Renewable Energy Certificates</t>
  </si>
  <si>
    <t>NET INPUTS AND OUTPUTS</t>
  </si>
  <si>
    <t>Rupturing Algal Cells and Separating the Products by Centrifugation</t>
  </si>
  <si>
    <t>Methane</t>
  </si>
  <si>
    <t>The only pumping cost is that to overcome pipe friction, constriction and turbulence.</t>
  </si>
  <si>
    <t>Part or all of the methanol could be converted into petrol by the Mobil process, if desired.</t>
  </si>
  <si>
    <t xml:space="preserve">of transport fuels, connecting three State capitals via existing pipeline easements, </t>
  </si>
  <si>
    <t>Given the increasing likelihood of adverse environmental events, assume that insurance expense is a high 5% of Capital Employed.</t>
  </si>
  <si>
    <t>CO2+4H2O as steam, which is not included in the mass balance</t>
  </si>
  <si>
    <t>Hydrocarbons/FAMES &amp; unreacted methanol</t>
  </si>
  <si>
    <t>Fuel Oil</t>
  </si>
  <si>
    <t>Jet fuel</t>
  </si>
  <si>
    <t>Input biomass includes algal cellwalls plus 100kg of a mixture of regional biomass, typically comprising  crop/forestry waste, weed species, lignite &amp;/or sewage.</t>
  </si>
  <si>
    <t>Replacement gel and nutrients, including those from low-grade mineral deposits</t>
  </si>
  <si>
    <t>Nutrients recycled from WCR (mixotrophic feed and vitamins), WSS (NH3, P, K minerals and trace elements - sourced from algae and other biomass) and from flue gas extraction.</t>
  </si>
  <si>
    <t>recycling reduces WAS reqt by ~80%</t>
  </si>
  <si>
    <t>Assume that this Winwick facility uses 200kg of CH4 for methanol production &amp; 40kg of biomass+sewage for every tonne of CO2 sequestered. Proportions may vary much.</t>
  </si>
  <si>
    <t xml:space="preserve">70kWh to produce 480kg (net zzzz) of methanol, utilising the HFR resource benefits </t>
  </si>
  <si>
    <t>Cell walls ~C32H33O19N ~2% N or any chipped biomass plus sewage</t>
  </si>
  <si>
    <t>harvested from separate bioreactors, but are processed the same way.</t>
  </si>
  <si>
    <t>CONVSN%</t>
  </si>
  <si>
    <t>MOLECWT</t>
  </si>
  <si>
    <t>CO2</t>
  </si>
  <si>
    <t>H2O</t>
  </si>
  <si>
    <t xml:space="preserve">If surfactant is req'd, assume it costs $3 for this amount of algae. If possible, </t>
  </si>
  <si>
    <t>To reduce the O2 required to maintain the algae overnight, it is probably best</t>
  </si>
  <si>
    <t>?CH4</t>
  </si>
  <si>
    <t>~Free</t>
  </si>
  <si>
    <t>F1</t>
  </si>
  <si>
    <t xml:space="preserve">O2/CO2 (90/10 ratio) </t>
  </si>
  <si>
    <t>Temp=Ambient+</t>
  </si>
  <si>
    <t>Note, that part of this percentage is likely to go to the owners of other intellectual property that is used in the overall process or for external logistics and product distribution.</t>
  </si>
  <si>
    <t>time when the price of WTI was ~USD138/bbl, or around AUD150/bbl.</t>
  </si>
  <si>
    <t>Other products may be produced using hydro- or enzymatic cracking or pyrolysis.</t>
  </si>
  <si>
    <t>A catalyst or an ionic material, such as a salt or an alkali, may be useful in rupturing the cells by osmotic pressure.</t>
  </si>
  <si>
    <t>?CO2</t>
  </si>
  <si>
    <t>?H2</t>
  </si>
  <si>
    <t>For a low temp process see US Pat 4894394</t>
  </si>
  <si>
    <t>G1</t>
  </si>
  <si>
    <t>?catalyst, possibly a salt</t>
  </si>
  <si>
    <t>been allocated to the cost of lost or non-recycled nutrients for this output.</t>
  </si>
  <si>
    <t xml:space="preserve">the thinly-gelled, thixotropic algal soup at one pressure using small sparge holes </t>
  </si>
  <si>
    <t>and frothing it at possibly higher pressure, using fewer &amp; larger sparge holes.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</si>
</sst>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s>
  <fonts count="5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vertAlign val="subscript"/>
      <sz val="10"/>
      <name val="Verdana"/>
      <family val="0"/>
    </font>
    <font>
      <vertAlign val="superscript"/>
      <sz val="10"/>
      <name val="Verdana"/>
      <family val="0"/>
    </font>
    <font>
      <i/>
      <vertAlign val="superscript"/>
      <sz val="10"/>
      <name val="Verdana"/>
      <family val="0"/>
    </font>
    <font>
      <b/>
      <sz val="9"/>
      <name val="Times New Roman"/>
      <family val="0"/>
    </font>
    <font>
      <sz val="9"/>
      <name val="Times New Roman"/>
      <family val="0"/>
    </font>
    <font>
      <i/>
      <sz val="9"/>
      <name val="Times New Roman"/>
      <family val="0"/>
    </font>
    <font>
      <vertAlign val="subscript"/>
      <sz val="9"/>
      <name val="Times New Roman"/>
      <family val="0"/>
    </font>
    <font>
      <b/>
      <i/>
      <sz val="9"/>
      <name val="Times New Roman"/>
      <family val="0"/>
    </font>
    <font>
      <i/>
      <vertAlign val="superscript"/>
      <sz val="9"/>
      <name val="Times New Roman"/>
      <family val="0"/>
    </font>
    <font>
      <vertAlign val="superscript"/>
      <sz val="9"/>
      <name val="Times New Roman"/>
      <family val="0"/>
    </font>
    <font>
      <b/>
      <sz val="8"/>
      <name val="Times New Roman"/>
      <family val="0"/>
    </font>
    <font>
      <i/>
      <vertAlign val="subscript"/>
      <sz val="9"/>
      <name val="Times New Roman"/>
      <family val="0"/>
    </font>
    <font>
      <b/>
      <i/>
      <sz val="8"/>
      <name val="Times New Roman"/>
      <family val="0"/>
    </font>
    <font>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52"/>
        <bgColor indexed="64"/>
      </patternFill>
    </fill>
    <fill>
      <patternFill patternType="solid">
        <fgColor indexed="14"/>
        <bgColor indexed="64"/>
      </patternFill>
    </fill>
    <fill>
      <patternFill patternType="solid">
        <fgColor indexed="53"/>
        <bgColor indexed="64"/>
      </patternFill>
    </fill>
    <fill>
      <patternFill patternType="solid">
        <fgColor indexed="47"/>
        <bgColor indexed="64"/>
      </patternFill>
    </fill>
    <fill>
      <patternFill patternType="solid">
        <fgColor indexed="4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4">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0" fillId="0" borderId="10" xfId="0" applyFont="1" applyBorder="1" applyAlignment="1">
      <alignment/>
    </xf>
    <xf numFmtId="0" fontId="1" fillId="33" borderId="10" xfId="0" applyFont="1" applyFill="1" applyBorder="1" applyAlignment="1">
      <alignment/>
    </xf>
    <xf numFmtId="0" fontId="0" fillId="33" borderId="10" xfId="0" applyFill="1" applyBorder="1" applyAlignment="1">
      <alignment/>
    </xf>
    <xf numFmtId="0" fontId="2" fillId="0" borderId="10" xfId="0" applyFont="1" applyBorder="1" applyAlignment="1">
      <alignment/>
    </xf>
    <xf numFmtId="0" fontId="2" fillId="33" borderId="10" xfId="0" applyFont="1" applyFill="1" applyBorder="1" applyAlignment="1">
      <alignment/>
    </xf>
    <xf numFmtId="0" fontId="9" fillId="0" borderId="0" xfId="0" applyFont="1" applyBorder="1" applyAlignment="1">
      <alignment/>
    </xf>
    <xf numFmtId="0" fontId="10" fillId="0" borderId="0" xfId="0" applyFont="1" applyBorder="1" applyAlignment="1">
      <alignment/>
    </xf>
    <xf numFmtId="0" fontId="10" fillId="33" borderId="0" xfId="0" applyFont="1" applyFill="1" applyBorder="1" applyAlignment="1">
      <alignment/>
    </xf>
    <xf numFmtId="0" fontId="10" fillId="0" borderId="0" xfId="0" applyFont="1" applyFill="1" applyBorder="1" applyAlignment="1">
      <alignment/>
    </xf>
    <xf numFmtId="0" fontId="11" fillId="0" borderId="0" xfId="0" applyFont="1" applyBorder="1" applyAlignment="1">
      <alignment/>
    </xf>
    <xf numFmtId="0" fontId="9" fillId="33" borderId="0" xfId="0" applyFont="1" applyFill="1" applyBorder="1" applyAlignment="1">
      <alignment/>
    </xf>
    <xf numFmtId="1" fontId="10" fillId="0" borderId="0" xfId="0" applyNumberFormat="1" applyFont="1" applyBorder="1" applyAlignment="1">
      <alignment/>
    </xf>
    <xf numFmtId="0" fontId="13" fillId="0" borderId="0" xfId="0" applyFont="1" applyFill="1" applyBorder="1" applyAlignment="1">
      <alignment/>
    </xf>
    <xf numFmtId="1" fontId="10" fillId="34" borderId="0" xfId="0" applyNumberFormat="1" applyFont="1" applyFill="1" applyBorder="1" applyAlignment="1">
      <alignment/>
    </xf>
    <xf numFmtId="0" fontId="10" fillId="34" borderId="0" xfId="0" applyFont="1" applyFill="1" applyBorder="1" applyAlignment="1">
      <alignment/>
    </xf>
    <xf numFmtId="1" fontId="10" fillId="35" borderId="0" xfId="0" applyNumberFormat="1" applyFont="1" applyFill="1" applyBorder="1" applyAlignment="1">
      <alignment/>
    </xf>
    <xf numFmtId="1" fontId="10" fillId="0" borderId="0" xfId="0" applyNumberFormat="1" applyFont="1" applyFill="1" applyBorder="1" applyAlignment="1">
      <alignment/>
    </xf>
    <xf numFmtId="0" fontId="11" fillId="33" borderId="0" xfId="0" applyFont="1" applyFill="1" applyBorder="1" applyAlignment="1">
      <alignment/>
    </xf>
    <xf numFmtId="0" fontId="11" fillId="0" borderId="0" xfId="0" applyFont="1" applyFill="1" applyBorder="1" applyAlignment="1">
      <alignment/>
    </xf>
    <xf numFmtId="0" fontId="11" fillId="36" borderId="0" xfId="0" applyFont="1" applyFill="1" applyBorder="1" applyAlignment="1">
      <alignment/>
    </xf>
    <xf numFmtId="169" fontId="10" fillId="34" borderId="0" xfId="0" applyNumberFormat="1" applyFont="1" applyFill="1" applyBorder="1" applyAlignment="1">
      <alignment/>
    </xf>
    <xf numFmtId="0" fontId="9" fillId="0" borderId="0" xfId="0" applyFont="1" applyBorder="1" applyAlignment="1">
      <alignment horizontal="right"/>
    </xf>
    <xf numFmtId="1" fontId="10" fillId="0" borderId="0" xfId="0" applyNumberFormat="1" applyFont="1" applyFill="1" applyBorder="1" applyAlignment="1">
      <alignment horizontal="right"/>
    </xf>
    <xf numFmtId="1" fontId="9" fillId="0" borderId="0" xfId="0" applyNumberFormat="1" applyFont="1" applyBorder="1" applyAlignment="1">
      <alignment/>
    </xf>
    <xf numFmtId="172" fontId="10" fillId="0" borderId="0" xfId="0" applyNumberFormat="1" applyFont="1" applyBorder="1" applyAlignment="1">
      <alignment/>
    </xf>
    <xf numFmtId="1" fontId="10" fillId="33" borderId="0" xfId="0" applyNumberFormat="1" applyFont="1" applyFill="1" applyBorder="1" applyAlignment="1">
      <alignment/>
    </xf>
    <xf numFmtId="1" fontId="10" fillId="0" borderId="11" xfId="0" applyNumberFormat="1" applyFont="1" applyBorder="1" applyAlignment="1">
      <alignment/>
    </xf>
    <xf numFmtId="1" fontId="10" fillId="33" borderId="11" xfId="0" applyNumberFormat="1" applyFont="1" applyFill="1" applyBorder="1" applyAlignment="1">
      <alignment/>
    </xf>
    <xf numFmtId="1" fontId="10" fillId="35" borderId="11" xfId="0" applyNumberFormat="1" applyFont="1" applyFill="1" applyBorder="1" applyAlignment="1">
      <alignment/>
    </xf>
    <xf numFmtId="1" fontId="10" fillId="0" borderId="11" xfId="0" applyNumberFormat="1" applyFont="1" applyFill="1" applyBorder="1" applyAlignment="1">
      <alignment horizontal="right"/>
    </xf>
    <xf numFmtId="1" fontId="9" fillId="37" borderId="12" xfId="0" applyNumberFormat="1" applyFont="1" applyFill="1" applyBorder="1" applyAlignment="1">
      <alignment/>
    </xf>
    <xf numFmtId="3" fontId="13" fillId="33" borderId="0" xfId="0" applyNumberFormat="1" applyFont="1" applyFill="1" applyBorder="1" applyAlignment="1">
      <alignment/>
    </xf>
    <xf numFmtId="0" fontId="11" fillId="0" borderId="0" xfId="0" applyFont="1" applyBorder="1" applyAlignment="1">
      <alignment wrapText="1"/>
    </xf>
    <xf numFmtId="3" fontId="11" fillId="0" borderId="0" xfId="0" applyNumberFormat="1" applyFont="1" applyBorder="1" applyAlignment="1">
      <alignment wrapText="1"/>
    </xf>
    <xf numFmtId="3" fontId="10" fillId="35" borderId="0" xfId="0" applyNumberFormat="1" applyFont="1" applyFill="1" applyBorder="1" applyAlignment="1">
      <alignment/>
    </xf>
    <xf numFmtId="3" fontId="11" fillId="0" borderId="0" xfId="0" applyNumberFormat="1" applyFont="1" applyBorder="1" applyAlignment="1">
      <alignment/>
    </xf>
    <xf numFmtId="0" fontId="11" fillId="0" borderId="11" xfId="0" applyFont="1" applyBorder="1" applyAlignment="1">
      <alignment/>
    </xf>
    <xf numFmtId="0" fontId="9" fillId="0" borderId="11" xfId="0" applyFont="1" applyBorder="1" applyAlignment="1">
      <alignment/>
    </xf>
    <xf numFmtId="0" fontId="10" fillId="0" borderId="11" xfId="0" applyFont="1" applyBorder="1" applyAlignment="1">
      <alignment/>
    </xf>
    <xf numFmtId="3" fontId="10" fillId="0" borderId="11" xfId="0" applyNumberFormat="1" applyFont="1" applyFill="1" applyBorder="1" applyAlignment="1">
      <alignment/>
    </xf>
    <xf numFmtId="3" fontId="11" fillId="0" borderId="11" xfId="0" applyNumberFormat="1" applyFont="1" applyBorder="1" applyAlignment="1">
      <alignment/>
    </xf>
    <xf numFmtId="3" fontId="13" fillId="33" borderId="11" xfId="0" applyNumberFormat="1" applyFont="1" applyFill="1" applyBorder="1" applyAlignment="1">
      <alignment/>
    </xf>
    <xf numFmtId="3" fontId="10" fillId="0" borderId="0" xfId="0" applyNumberFormat="1" applyFont="1" applyFill="1" applyBorder="1" applyAlignment="1">
      <alignment/>
    </xf>
    <xf numFmtId="3" fontId="10" fillId="34" borderId="0" xfId="0" applyNumberFormat="1" applyFont="1" applyFill="1" applyBorder="1" applyAlignment="1">
      <alignment/>
    </xf>
    <xf numFmtId="3" fontId="10" fillId="0" borderId="0" xfId="0" applyNumberFormat="1" applyFont="1" applyBorder="1" applyAlignment="1">
      <alignment/>
    </xf>
    <xf numFmtId="3" fontId="10" fillId="0" borderId="11" xfId="0" applyNumberFormat="1" applyFont="1" applyBorder="1" applyAlignment="1">
      <alignment/>
    </xf>
    <xf numFmtId="0" fontId="13" fillId="33" borderId="11" xfId="0" applyFont="1" applyFill="1" applyBorder="1" applyAlignment="1">
      <alignment/>
    </xf>
    <xf numFmtId="1" fontId="13" fillId="33" borderId="0" xfId="0" applyNumberFormat="1" applyFont="1" applyFill="1" applyBorder="1" applyAlignment="1">
      <alignment/>
    </xf>
    <xf numFmtId="0" fontId="11" fillId="0" borderId="0" xfId="0" applyFont="1" applyBorder="1" applyAlignment="1">
      <alignment horizontal="left"/>
    </xf>
    <xf numFmtId="1" fontId="9" fillId="37" borderId="0" xfId="0" applyNumberFormat="1" applyFont="1" applyFill="1" applyBorder="1" applyAlignment="1">
      <alignment/>
    </xf>
    <xf numFmtId="0" fontId="9" fillId="0" borderId="0" xfId="0" applyNumberFormat="1" applyFont="1" applyBorder="1" applyAlignment="1">
      <alignment horizontal="left"/>
    </xf>
    <xf numFmtId="0" fontId="16" fillId="0" borderId="0" xfId="0" applyNumberFormat="1" applyFont="1" applyBorder="1" applyAlignment="1">
      <alignment horizontal="left"/>
    </xf>
    <xf numFmtId="0" fontId="16" fillId="0" borderId="0" xfId="0" applyNumberFormat="1" applyFont="1" applyFill="1" applyBorder="1" applyAlignment="1">
      <alignment horizontal="left"/>
    </xf>
    <xf numFmtId="0" fontId="16" fillId="0" borderId="11" xfId="0" applyNumberFormat="1" applyFont="1" applyBorder="1" applyAlignment="1">
      <alignment horizontal="left"/>
    </xf>
    <xf numFmtId="0" fontId="16" fillId="0" borderId="11" xfId="0" applyNumberFormat="1" applyFont="1" applyFill="1" applyBorder="1" applyAlignment="1">
      <alignment horizontal="left"/>
    </xf>
    <xf numFmtId="0" fontId="16" fillId="0" borderId="0" xfId="0" applyNumberFormat="1" applyFont="1" applyFill="1" applyBorder="1" applyAlignment="1">
      <alignment horizontal="left" wrapText="1"/>
    </xf>
    <xf numFmtId="0" fontId="16" fillId="0" borderId="0" xfId="0" applyNumberFormat="1" applyFont="1" applyBorder="1" applyAlignment="1">
      <alignment horizontal="left" shrinkToFit="1"/>
    </xf>
    <xf numFmtId="0" fontId="16" fillId="0" borderId="0" xfId="0" applyNumberFormat="1" applyFont="1" applyFill="1" applyBorder="1" applyAlignment="1">
      <alignment horizontal="left" shrinkToFit="1"/>
    </xf>
    <xf numFmtId="0" fontId="16" fillId="0" borderId="11" xfId="0" applyNumberFormat="1" applyFont="1" applyBorder="1" applyAlignment="1">
      <alignment horizontal="left" shrinkToFit="1"/>
    </xf>
    <xf numFmtId="0" fontId="16" fillId="0" borderId="0" xfId="0" applyFont="1" applyAlignment="1">
      <alignment horizontal="left" shrinkToFit="1"/>
    </xf>
    <xf numFmtId="0" fontId="11" fillId="0" borderId="0" xfId="0" applyFont="1" applyAlignment="1">
      <alignment/>
    </xf>
    <xf numFmtId="0" fontId="11" fillId="0" borderId="0" xfId="0" applyFont="1" applyBorder="1" applyAlignment="1">
      <alignment horizontal="left" shrinkToFit="1"/>
    </xf>
    <xf numFmtId="172" fontId="10" fillId="33" borderId="0" xfId="0" applyNumberFormat="1" applyFont="1" applyFill="1" applyBorder="1" applyAlignment="1">
      <alignment/>
    </xf>
    <xf numFmtId="172" fontId="16" fillId="0" borderId="0" xfId="0" applyNumberFormat="1" applyFont="1" applyFill="1" applyBorder="1" applyAlignment="1">
      <alignment horizontal="left" shrinkToFit="1"/>
    </xf>
    <xf numFmtId="172" fontId="11" fillId="0" borderId="0" xfId="0" applyNumberFormat="1" applyFont="1" applyBorder="1" applyAlignment="1">
      <alignment/>
    </xf>
    <xf numFmtId="172" fontId="10" fillId="0" borderId="0" xfId="0" applyNumberFormat="1" applyFont="1" applyBorder="1" applyAlignment="1">
      <alignment/>
    </xf>
    <xf numFmtId="1" fontId="16" fillId="0" borderId="0" xfId="0" applyNumberFormat="1" applyFont="1" applyFill="1" applyBorder="1" applyAlignment="1">
      <alignment horizontal="left" shrinkToFit="1"/>
    </xf>
    <xf numFmtId="0" fontId="18" fillId="0" borderId="0" xfId="0" applyNumberFormat="1" applyFont="1" applyBorder="1" applyAlignment="1">
      <alignment horizontal="left"/>
    </xf>
    <xf numFmtId="0" fontId="13" fillId="33" borderId="0" xfId="0" applyFont="1" applyFill="1" applyBorder="1" applyAlignment="1">
      <alignment wrapText="1"/>
    </xf>
    <xf numFmtId="3" fontId="13" fillId="0" borderId="0" xfId="0" applyNumberFormat="1" applyFont="1" applyBorder="1" applyAlignment="1">
      <alignment wrapText="1"/>
    </xf>
    <xf numFmtId="0" fontId="13" fillId="0" borderId="0" xfId="0" applyFont="1" applyBorder="1" applyAlignment="1">
      <alignment wrapText="1"/>
    </xf>
    <xf numFmtId="1" fontId="9" fillId="0" borderId="0" xfId="0" applyNumberFormat="1" applyFont="1" applyBorder="1" applyAlignment="1">
      <alignment horizontal="left"/>
    </xf>
    <xf numFmtId="0" fontId="11" fillId="38" borderId="0" xfId="0" applyFont="1" applyFill="1" applyBorder="1" applyAlignment="1">
      <alignment/>
    </xf>
    <xf numFmtId="3" fontId="11" fillId="0" borderId="0" xfId="0" applyNumberFormat="1" applyFont="1" applyFill="1" applyBorder="1" applyAlignment="1">
      <alignment/>
    </xf>
    <xf numFmtId="172" fontId="10" fillId="0" borderId="0" xfId="0" applyNumberFormat="1" applyFont="1" applyFill="1" applyBorder="1" applyAlignment="1">
      <alignment/>
    </xf>
    <xf numFmtId="0" fontId="11" fillId="0" borderId="0" xfId="0" applyNumberFormat="1" applyFont="1" applyFill="1" applyBorder="1" applyAlignment="1">
      <alignment horizontal="left"/>
    </xf>
    <xf numFmtId="1" fontId="11" fillId="0" borderId="0" xfId="0" applyNumberFormat="1" applyFont="1" applyFill="1" applyBorder="1" applyAlignment="1">
      <alignment horizontal="left"/>
    </xf>
    <xf numFmtId="1" fontId="11" fillId="0" borderId="11" xfId="0" applyNumberFormat="1" applyFont="1" applyFill="1" applyBorder="1" applyAlignment="1">
      <alignment horizontal="left"/>
    </xf>
    <xf numFmtId="172" fontId="10" fillId="0" borderId="11" xfId="0" applyNumberFormat="1" applyFont="1" applyFill="1" applyBorder="1" applyAlignment="1">
      <alignment/>
    </xf>
    <xf numFmtId="0" fontId="11" fillId="39" borderId="0" xfId="0" applyFont="1" applyFill="1" applyBorder="1" applyAlignment="1">
      <alignment/>
    </xf>
    <xf numFmtId="172" fontId="11" fillId="36" borderId="0" xfId="0" applyNumberFormat="1" applyFont="1" applyFill="1" applyBorder="1" applyAlignment="1">
      <alignment/>
    </xf>
    <xf numFmtId="0" fontId="10" fillId="36" borderId="0" xfId="0" applyFont="1" applyFill="1" applyBorder="1" applyAlignment="1">
      <alignment/>
    </xf>
    <xf numFmtId="0" fontId="11" fillId="40" borderId="0" xfId="0" applyFont="1" applyFill="1" applyBorder="1" applyAlignment="1">
      <alignment/>
    </xf>
    <xf numFmtId="1" fontId="10" fillId="0" borderId="11" xfId="0" applyNumberFormat="1" applyFont="1" applyFill="1" applyBorder="1" applyAlignment="1">
      <alignment/>
    </xf>
    <xf numFmtId="0" fontId="10" fillId="35" borderId="0" xfId="0" applyFont="1" applyFill="1" applyBorder="1" applyAlignment="1">
      <alignment/>
    </xf>
    <xf numFmtId="0" fontId="11" fillId="36" borderId="0" xfId="0" applyFont="1" applyFill="1" applyAlignment="1">
      <alignment/>
    </xf>
    <xf numFmtId="0" fontId="10" fillId="39" borderId="0" xfId="0" applyFont="1" applyFill="1" applyBorder="1" applyAlignment="1">
      <alignment/>
    </xf>
    <xf numFmtId="172" fontId="11" fillId="39" borderId="0" xfId="0" applyNumberFormat="1" applyFont="1" applyFill="1" applyBorder="1" applyAlignment="1">
      <alignment/>
    </xf>
    <xf numFmtId="0" fontId="16" fillId="0" borderId="0" xfId="0" applyFont="1" applyBorder="1" applyAlignment="1">
      <alignment horizontal="left"/>
    </xf>
    <xf numFmtId="0" fontId="11" fillId="34" borderId="0" xfId="0" applyFont="1" applyFill="1" applyBorder="1" applyAlignment="1">
      <alignment/>
    </xf>
    <xf numFmtId="0" fontId="11" fillId="35" borderId="0" xfId="0" applyFont="1" applyFill="1" applyBorder="1" applyAlignment="1">
      <alignment/>
    </xf>
    <xf numFmtId="0" fontId="13" fillId="40" borderId="0" xfId="0" applyFont="1" applyFill="1" applyBorder="1" applyAlignment="1">
      <alignment/>
    </xf>
    <xf numFmtId="172" fontId="11" fillId="0" borderId="0" xfId="0" applyNumberFormat="1" applyFont="1" applyFill="1" applyBorder="1" applyAlignment="1">
      <alignment/>
    </xf>
    <xf numFmtId="0" fontId="10" fillId="41" borderId="0" xfId="0" applyFont="1" applyFill="1" applyBorder="1" applyAlignment="1">
      <alignment/>
    </xf>
    <xf numFmtId="1" fontId="10" fillId="39" borderId="0" xfId="0" applyNumberFormat="1" applyFont="1" applyFill="1" applyBorder="1" applyAlignment="1">
      <alignment/>
    </xf>
    <xf numFmtId="0" fontId="11" fillId="0" borderId="0" xfId="0" applyNumberFormat="1" applyFont="1" applyBorder="1" applyAlignment="1">
      <alignment/>
    </xf>
    <xf numFmtId="0" fontId="19" fillId="0" borderId="0" xfId="0" applyNumberFormat="1" applyFont="1" applyBorder="1" applyAlignment="1">
      <alignment horizontal="left"/>
    </xf>
    <xf numFmtId="0" fontId="16" fillId="0" borderId="0" xfId="0" applyNumberFormat="1" applyFont="1" applyAlignment="1">
      <alignment horizontal="left" shrinkToFit="1"/>
    </xf>
    <xf numFmtId="0" fontId="11" fillId="0" borderId="0" xfId="0" applyNumberFormat="1" applyFont="1" applyBorder="1" applyAlignment="1">
      <alignment horizontal="left" shrinkToFit="1"/>
    </xf>
    <xf numFmtId="0" fontId="18" fillId="0" borderId="0" xfId="0" applyNumberFormat="1" applyFont="1" applyBorder="1" applyAlignment="1" applyProtection="1">
      <alignment horizontal="left"/>
      <protection locked="0"/>
    </xf>
    <xf numFmtId="0" fontId="11" fillId="42"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71"/>
  <sheetViews>
    <sheetView tabSelected="1" zoomScale="200" zoomScaleNormal="200" workbookViewId="0" topLeftCell="A77">
      <selection activeCell="C77" sqref="C77"/>
    </sheetView>
  </sheetViews>
  <sheetFormatPr defaultColWidth="11.00390625" defaultRowHeight="12.75"/>
  <cols>
    <col min="1" max="1" width="2.75390625" style="59" customWidth="1"/>
    <col min="2" max="2" width="8.375" style="9" customWidth="1"/>
    <col min="3" max="4" width="5.875" style="9" customWidth="1"/>
    <col min="5" max="6" width="6.125" style="9" customWidth="1"/>
    <col min="7" max="7" width="6.375" style="9" customWidth="1"/>
    <col min="8" max="8" width="7.125" style="9" customWidth="1"/>
    <col min="9" max="9" width="10.625" style="10" customWidth="1"/>
    <col min="10" max="10" width="2.875" style="55" customWidth="1"/>
    <col min="11" max="11" width="6.125" style="9" customWidth="1"/>
    <col min="12" max="12" width="6.25390625" style="9" customWidth="1"/>
    <col min="13" max="13" width="6.375" style="9" customWidth="1"/>
    <col min="14" max="15" width="6.25390625" style="9" customWidth="1"/>
    <col min="16" max="16" width="3.625" style="9" customWidth="1"/>
    <col min="17" max="17" width="12.625" style="12" customWidth="1"/>
    <col min="18" max="16384" width="10.75390625" style="9" customWidth="1"/>
  </cols>
  <sheetData>
    <row r="1" spans="1:2" ht="10.5">
      <c r="A1" s="59" t="s">
        <v>479</v>
      </c>
      <c r="B1" s="8" t="s">
        <v>564</v>
      </c>
    </row>
    <row r="2" spans="2:10" ht="10.5">
      <c r="B2" s="8"/>
      <c r="J2" s="60"/>
    </row>
    <row r="3" spans="1:17" s="8" customFormat="1" ht="10.5">
      <c r="A3" s="59"/>
      <c r="C3" s="8" t="s">
        <v>355</v>
      </c>
      <c r="D3" s="12" t="s">
        <v>79</v>
      </c>
      <c r="I3" s="13" t="s">
        <v>493</v>
      </c>
      <c r="J3" s="60"/>
      <c r="K3" s="8" t="s">
        <v>284</v>
      </c>
      <c r="L3" s="9" t="s">
        <v>5</v>
      </c>
      <c r="M3" s="9"/>
      <c r="N3" s="9" t="s">
        <v>354</v>
      </c>
      <c r="O3" s="9" t="s">
        <v>587</v>
      </c>
      <c r="Q3" s="8" t="s">
        <v>492</v>
      </c>
    </row>
    <row r="4" spans="2:15" ht="10.5">
      <c r="B4" s="9" t="s">
        <v>471</v>
      </c>
      <c r="C4" s="9" t="s">
        <v>609</v>
      </c>
      <c r="D4" s="9" t="s">
        <v>610</v>
      </c>
      <c r="E4" s="9" t="s">
        <v>601</v>
      </c>
      <c r="F4" s="9" t="s">
        <v>25</v>
      </c>
      <c r="G4" s="9" t="s">
        <v>600</v>
      </c>
      <c r="H4" s="9" t="s">
        <v>438</v>
      </c>
      <c r="I4" s="10" t="s">
        <v>617</v>
      </c>
      <c r="J4" s="60"/>
      <c r="K4" s="9" t="s">
        <v>7</v>
      </c>
      <c r="L4" s="9" t="s">
        <v>368</v>
      </c>
      <c r="M4" s="9" t="s">
        <v>616</v>
      </c>
      <c r="N4" s="9" t="s">
        <v>438</v>
      </c>
      <c r="O4" s="9" t="s">
        <v>47</v>
      </c>
    </row>
    <row r="5" spans="2:13" ht="10.5">
      <c r="B5" s="9" t="s">
        <v>608</v>
      </c>
      <c r="C5" s="9">
        <v>44</v>
      </c>
      <c r="D5" s="9">
        <v>18</v>
      </c>
      <c r="F5" s="9">
        <v>17</v>
      </c>
      <c r="I5" s="10" t="s">
        <v>318</v>
      </c>
      <c r="J5" s="60"/>
      <c r="L5" s="9">
        <v>850</v>
      </c>
      <c r="M5" s="9">
        <v>32</v>
      </c>
    </row>
    <row r="6" spans="2:17" ht="10.5">
      <c r="B6" s="9" t="s">
        <v>469</v>
      </c>
      <c r="C6" s="9">
        <v>1000</v>
      </c>
      <c r="D6" s="14">
        <v>295</v>
      </c>
      <c r="F6" s="96">
        <v>64</v>
      </c>
      <c r="H6" s="14">
        <v>30</v>
      </c>
      <c r="I6" s="10" t="s">
        <v>319</v>
      </c>
      <c r="J6" s="60"/>
      <c r="K6" s="19">
        <f>(1-0.11)*(C6+D6+F6-M6)</f>
        <v>490.39</v>
      </c>
      <c r="L6" s="11">
        <f>0.11*(C6+D6+F6-M6)</f>
        <v>60.61</v>
      </c>
      <c r="M6" s="14">
        <v>808</v>
      </c>
      <c r="N6" s="89">
        <v>6746</v>
      </c>
      <c r="O6" s="97">
        <f>N6-H6</f>
        <v>6716</v>
      </c>
      <c r="P6" s="15"/>
      <c r="Q6" s="51" t="s">
        <v>570</v>
      </c>
    </row>
    <row r="7" spans="2:17" ht="10.5">
      <c r="B7" s="9" t="s">
        <v>607</v>
      </c>
      <c r="J7" s="60"/>
      <c r="O7" s="9">
        <v>80</v>
      </c>
      <c r="Q7" s="51" t="s">
        <v>50</v>
      </c>
    </row>
    <row r="8" spans="1:17" s="27" customFormat="1" ht="10.5">
      <c r="A8" s="59"/>
      <c r="B8" s="27" t="s">
        <v>472</v>
      </c>
      <c r="C8" s="27">
        <v>-0.03</v>
      </c>
      <c r="D8" s="27">
        <v>0.001</v>
      </c>
      <c r="H8" s="27">
        <v>0.1</v>
      </c>
      <c r="I8" s="65"/>
      <c r="J8" s="66"/>
      <c r="M8" s="27">
        <v>0.07</v>
      </c>
      <c r="N8" s="27">
        <v>0.1</v>
      </c>
      <c r="O8" s="27">
        <v>0.043</v>
      </c>
      <c r="Q8" s="67"/>
    </row>
    <row r="9" spans="2:15" ht="10.5">
      <c r="B9" s="9" t="s">
        <v>470</v>
      </c>
      <c r="C9" s="16">
        <f>C6*C8</f>
        <v>-30</v>
      </c>
      <c r="D9" s="16">
        <f>D6*D8</f>
        <v>0.295</v>
      </c>
      <c r="E9" s="9">
        <v>0</v>
      </c>
      <c r="F9" s="89">
        <v>0</v>
      </c>
      <c r="G9" s="17">
        <v>15</v>
      </c>
      <c r="H9" s="17">
        <f>H6*H8</f>
        <v>3</v>
      </c>
      <c r="J9" s="60"/>
      <c r="K9" s="9">
        <v>0</v>
      </c>
      <c r="L9" s="9">
        <v>0</v>
      </c>
      <c r="M9" s="18">
        <f>M6*M8</f>
        <v>56.56</v>
      </c>
      <c r="N9" s="18">
        <f>N6*N8</f>
        <v>674.6</v>
      </c>
      <c r="O9" s="87">
        <f>O6*O7/100*O8</f>
        <v>231.0304</v>
      </c>
    </row>
    <row r="10" spans="3:14" ht="10.5">
      <c r="C10" s="19"/>
      <c r="D10" s="19"/>
      <c r="E10" s="11" t="s">
        <v>71</v>
      </c>
      <c r="F10" s="96" t="s">
        <v>602</v>
      </c>
      <c r="G10" s="11"/>
      <c r="H10" s="84"/>
      <c r="J10" s="60"/>
      <c r="L10" s="9" t="s">
        <v>358</v>
      </c>
      <c r="M10" s="12" t="s">
        <v>49</v>
      </c>
      <c r="N10" s="12"/>
    </row>
    <row r="11" spans="1:12" s="12" customFormat="1" ht="10.5">
      <c r="A11" s="59"/>
      <c r="B11" s="54" t="s">
        <v>491</v>
      </c>
      <c r="I11" s="20"/>
      <c r="J11" s="60"/>
      <c r="L11" s="9" t="s">
        <v>357</v>
      </c>
    </row>
    <row r="12" spans="1:11" s="12" customFormat="1" ht="10.5">
      <c r="A12" s="59">
        <v>1</v>
      </c>
      <c r="B12" s="12" t="s">
        <v>4</v>
      </c>
      <c r="G12" s="22"/>
      <c r="I12" s="20"/>
      <c r="J12" s="59">
        <v>11</v>
      </c>
      <c r="K12" s="12" t="s">
        <v>73</v>
      </c>
    </row>
    <row r="13" spans="1:11" s="12" customFormat="1" ht="10.5">
      <c r="A13" s="98"/>
      <c r="B13" s="12" t="s">
        <v>3</v>
      </c>
      <c r="I13" s="20"/>
      <c r="J13" s="59"/>
      <c r="K13" s="12" t="s">
        <v>74</v>
      </c>
    </row>
    <row r="14" spans="2:11" ht="10.5">
      <c r="B14" s="12" t="s">
        <v>2</v>
      </c>
      <c r="I14" s="20"/>
      <c r="J14" s="59"/>
      <c r="K14" s="12" t="s">
        <v>483</v>
      </c>
    </row>
    <row r="15" spans="1:11" s="12" customFormat="1" ht="10.5">
      <c r="A15" s="98"/>
      <c r="B15" s="12" t="s">
        <v>1</v>
      </c>
      <c r="I15" s="20"/>
      <c r="J15" s="60"/>
      <c r="K15" s="12" t="s">
        <v>484</v>
      </c>
    </row>
    <row r="16" spans="2:14" ht="10.5">
      <c r="B16" s="12" t="s">
        <v>6</v>
      </c>
      <c r="E16" s="11"/>
      <c r="J16" s="60"/>
      <c r="K16" s="12" t="s">
        <v>189</v>
      </c>
      <c r="N16" s="84"/>
    </row>
    <row r="17" spans="1:14" s="12" customFormat="1" ht="10.5">
      <c r="A17" s="59">
        <v>2</v>
      </c>
      <c r="B17" s="22" t="s">
        <v>33</v>
      </c>
      <c r="E17" s="22"/>
      <c r="G17" s="21"/>
      <c r="I17" s="20"/>
      <c r="J17" s="60"/>
      <c r="K17" s="12" t="s">
        <v>23</v>
      </c>
      <c r="N17" s="21"/>
    </row>
    <row r="18" spans="1:11" s="12" customFormat="1" ht="10.5">
      <c r="A18" s="59"/>
      <c r="B18" s="12" t="s">
        <v>19</v>
      </c>
      <c r="G18" s="21"/>
      <c r="I18" s="20"/>
      <c r="J18" s="59">
        <v>12</v>
      </c>
      <c r="K18" s="12" t="s">
        <v>76</v>
      </c>
    </row>
    <row r="19" spans="1:14" s="12" customFormat="1" ht="10.5">
      <c r="A19" s="59">
        <v>3</v>
      </c>
      <c r="B19" s="12" t="s">
        <v>490</v>
      </c>
      <c r="F19" s="21"/>
      <c r="G19" s="22"/>
      <c r="H19" s="21"/>
      <c r="I19" s="20"/>
      <c r="J19" s="59"/>
      <c r="K19" s="12" t="s">
        <v>8</v>
      </c>
      <c r="N19" s="21"/>
    </row>
    <row r="20" spans="1:11" s="12" customFormat="1" ht="10.5">
      <c r="A20" s="59"/>
      <c r="B20" s="12" t="s">
        <v>627</v>
      </c>
      <c r="I20" s="20"/>
      <c r="J20" s="59"/>
      <c r="K20" s="12" t="s">
        <v>10</v>
      </c>
    </row>
    <row r="21" spans="1:17" s="12" customFormat="1" ht="10.5">
      <c r="A21" s="59">
        <v>4</v>
      </c>
      <c r="B21" s="12" t="s">
        <v>487</v>
      </c>
      <c r="I21" s="20"/>
      <c r="J21" s="60"/>
      <c r="K21" s="12" t="s">
        <v>9</v>
      </c>
      <c r="O21" s="21"/>
      <c r="Q21" s="22"/>
    </row>
    <row r="22" spans="1:17" s="12" customFormat="1" ht="10.5">
      <c r="A22" s="59"/>
      <c r="B22" s="12" t="s">
        <v>46</v>
      </c>
      <c r="F22" s="21"/>
      <c r="I22" s="20"/>
      <c r="J22" s="60"/>
      <c r="K22" s="12" t="s">
        <v>0</v>
      </c>
      <c r="O22" s="21"/>
      <c r="P22" s="21"/>
      <c r="Q22" s="22"/>
    </row>
    <row r="23" spans="2:11" s="12" customFormat="1" ht="10.5">
      <c r="B23" s="12" t="s">
        <v>32</v>
      </c>
      <c r="C23" s="21"/>
      <c r="D23" s="21"/>
      <c r="F23" s="22"/>
      <c r="I23" s="20"/>
      <c r="J23" s="60"/>
      <c r="K23" s="21" t="s">
        <v>11</v>
      </c>
    </row>
    <row r="24" spans="1:11" s="12" customFormat="1" ht="10.5">
      <c r="A24" s="59"/>
      <c r="B24" s="21" t="s">
        <v>31</v>
      </c>
      <c r="D24" s="21"/>
      <c r="E24" s="21"/>
      <c r="I24" s="20"/>
      <c r="J24" s="60"/>
      <c r="K24" s="12" t="s">
        <v>45</v>
      </c>
    </row>
    <row r="25" spans="1:17" s="12" customFormat="1" ht="10.5">
      <c r="A25" s="59">
        <v>6</v>
      </c>
      <c r="B25" s="12" t="s">
        <v>556</v>
      </c>
      <c r="C25" s="21"/>
      <c r="I25" s="20"/>
      <c r="J25" s="59">
        <v>13</v>
      </c>
      <c r="K25" s="12" t="s">
        <v>42</v>
      </c>
      <c r="M25" s="21"/>
      <c r="N25" s="21"/>
      <c r="O25" s="22"/>
      <c r="P25" s="22"/>
      <c r="Q25" s="22"/>
    </row>
    <row r="26" spans="1:17" s="12" customFormat="1" ht="10.5">
      <c r="A26" s="59"/>
      <c r="B26" s="12" t="s">
        <v>555</v>
      </c>
      <c r="I26" s="103"/>
      <c r="J26" s="60"/>
      <c r="K26" s="12" t="s">
        <v>41</v>
      </c>
      <c r="M26" s="21"/>
      <c r="N26" s="21"/>
      <c r="O26" s="21"/>
      <c r="P26" s="22"/>
      <c r="Q26" s="22"/>
    </row>
    <row r="27" spans="1:17" s="12" customFormat="1" ht="10.5">
      <c r="A27" s="59"/>
      <c r="B27" s="12" t="s">
        <v>26</v>
      </c>
      <c r="I27" s="20"/>
      <c r="J27" s="60"/>
      <c r="K27" s="21" t="s">
        <v>44</v>
      </c>
      <c r="O27" s="22"/>
      <c r="P27" s="21"/>
      <c r="Q27" s="21"/>
    </row>
    <row r="28" spans="1:17" s="12" customFormat="1" ht="10.5">
      <c r="A28" s="59"/>
      <c r="B28" s="12" t="s">
        <v>12</v>
      </c>
      <c r="I28" s="82" t="s">
        <v>572</v>
      </c>
      <c r="J28" s="60"/>
      <c r="K28" s="21" t="s">
        <v>43</v>
      </c>
      <c r="L28" s="21"/>
      <c r="M28" s="21"/>
      <c r="N28" s="21"/>
      <c r="O28" s="21"/>
      <c r="P28" s="21"/>
      <c r="Q28" s="22"/>
    </row>
    <row r="29" spans="1:17" s="12" customFormat="1" ht="10.5">
      <c r="A29" s="59"/>
      <c r="B29" s="12" t="s">
        <v>13</v>
      </c>
      <c r="I29" s="82" t="s">
        <v>573</v>
      </c>
      <c r="J29" s="60"/>
      <c r="K29" s="12" t="s">
        <v>51</v>
      </c>
      <c r="P29" s="82"/>
      <c r="Q29" s="21"/>
    </row>
    <row r="30" spans="2:17" s="12" customFormat="1" ht="10.5">
      <c r="B30" s="21" t="s">
        <v>14</v>
      </c>
      <c r="F30" s="21"/>
      <c r="G30" s="21"/>
      <c r="H30" s="21"/>
      <c r="I30" s="20"/>
      <c r="J30" s="60"/>
      <c r="O30" s="21"/>
      <c r="P30" s="21"/>
      <c r="Q30" s="21"/>
    </row>
    <row r="31" spans="2:17" s="12" customFormat="1" ht="10.5">
      <c r="B31" s="21" t="s">
        <v>15</v>
      </c>
      <c r="C31" s="21"/>
      <c r="G31" s="21"/>
      <c r="I31" s="20"/>
      <c r="J31" s="59"/>
      <c r="L31" s="21"/>
      <c r="O31" s="21"/>
      <c r="P31" s="21"/>
      <c r="Q31" s="21"/>
    </row>
    <row r="32" spans="1:16" s="12" customFormat="1" ht="10.5">
      <c r="A32" s="59">
        <v>7</v>
      </c>
      <c r="B32" s="21" t="s">
        <v>75</v>
      </c>
      <c r="F32" s="21"/>
      <c r="G32" s="22"/>
      <c r="I32" s="20"/>
      <c r="J32" s="59">
        <v>14</v>
      </c>
      <c r="K32" s="12" t="s">
        <v>20</v>
      </c>
      <c r="O32" s="22"/>
      <c r="P32" s="22"/>
    </row>
    <row r="33" spans="1:11" s="12" customFormat="1" ht="10.5">
      <c r="A33" s="59"/>
      <c r="B33" s="12" t="s">
        <v>335</v>
      </c>
      <c r="I33" s="20"/>
      <c r="J33" s="59">
        <v>15</v>
      </c>
      <c r="K33" s="21" t="s">
        <v>228</v>
      </c>
    </row>
    <row r="34" spans="1:11" s="12" customFormat="1" ht="10.5">
      <c r="A34" s="59"/>
      <c r="B34" s="12" t="s">
        <v>344</v>
      </c>
      <c r="F34" s="21"/>
      <c r="I34" s="20"/>
      <c r="J34" s="59"/>
      <c r="K34" s="12" t="s">
        <v>569</v>
      </c>
    </row>
    <row r="35" spans="1:11" s="12" customFormat="1" ht="10.5">
      <c r="A35" s="98"/>
      <c r="I35" s="20"/>
      <c r="J35" s="59"/>
      <c r="K35" s="12" t="s">
        <v>309</v>
      </c>
    </row>
    <row r="36" spans="1:17" s="12" customFormat="1" ht="10.5">
      <c r="A36" s="60">
        <v>8</v>
      </c>
      <c r="B36" s="12" t="s">
        <v>144</v>
      </c>
      <c r="I36" s="20"/>
      <c r="J36" s="59"/>
      <c r="K36" s="12" t="s">
        <v>21</v>
      </c>
      <c r="Q36" s="82"/>
    </row>
    <row r="37" spans="1:11" s="12" customFormat="1" ht="10.5">
      <c r="A37" s="60"/>
      <c r="B37" s="22" t="s">
        <v>187</v>
      </c>
      <c r="F37" s="21"/>
      <c r="I37" s="20"/>
      <c r="J37" s="59"/>
      <c r="K37" s="12" t="s">
        <v>195</v>
      </c>
    </row>
    <row r="38" spans="1:11" s="12" customFormat="1" ht="10.5">
      <c r="A38" s="60"/>
      <c r="B38" s="21" t="s">
        <v>188</v>
      </c>
      <c r="F38" s="21"/>
      <c r="I38" s="20"/>
      <c r="J38" s="59">
        <v>16</v>
      </c>
      <c r="K38" s="12" t="s">
        <v>584</v>
      </c>
    </row>
    <row r="39" spans="1:13" s="12" customFormat="1" ht="10.5">
      <c r="A39" s="60">
        <v>9</v>
      </c>
      <c r="B39" s="21" t="s">
        <v>585</v>
      </c>
      <c r="C39" s="21"/>
      <c r="D39" s="21"/>
      <c r="E39" s="21"/>
      <c r="I39" s="20"/>
      <c r="J39" s="60"/>
      <c r="K39" s="22" t="s">
        <v>22</v>
      </c>
      <c r="M39" s="21"/>
    </row>
    <row r="40" spans="1:17" s="12" customFormat="1" ht="10.5">
      <c r="A40" s="59"/>
      <c r="B40" s="21" t="s">
        <v>77</v>
      </c>
      <c r="I40" s="20"/>
      <c r="J40" s="60"/>
      <c r="K40" s="12" t="s">
        <v>582</v>
      </c>
      <c r="Q40" s="21"/>
    </row>
    <row r="41" spans="1:12" s="12" customFormat="1" ht="10.5">
      <c r="A41" s="98"/>
      <c r="B41" s="12" t="s">
        <v>16</v>
      </c>
      <c r="E41" s="21"/>
      <c r="G41" s="22"/>
      <c r="I41" s="20"/>
      <c r="J41" s="60"/>
      <c r="K41" s="21" t="s">
        <v>583</v>
      </c>
      <c r="L41" s="22"/>
    </row>
    <row r="42" spans="1:17" s="12" customFormat="1" ht="10.5">
      <c r="A42" s="98"/>
      <c r="B42" s="12" t="s">
        <v>17</v>
      </c>
      <c r="I42" s="20"/>
      <c r="J42" s="60"/>
      <c r="K42" s="12" t="s">
        <v>430</v>
      </c>
      <c r="M42" s="21"/>
      <c r="P42" s="21"/>
      <c r="Q42" s="22"/>
    </row>
    <row r="43" spans="1:11" s="12" customFormat="1" ht="10.5">
      <c r="A43" s="99">
        <v>10</v>
      </c>
      <c r="B43" s="12" t="s">
        <v>78</v>
      </c>
      <c r="I43" s="20"/>
      <c r="J43" s="60">
        <v>17</v>
      </c>
      <c r="K43" s="21" t="s">
        <v>39</v>
      </c>
    </row>
    <row r="44" spans="1:11" s="12" customFormat="1" ht="10.5">
      <c r="A44" s="98"/>
      <c r="B44" s="12" t="s">
        <v>48</v>
      </c>
      <c r="I44" s="20"/>
      <c r="J44" s="60"/>
      <c r="K44" s="12" t="s">
        <v>40</v>
      </c>
    </row>
    <row r="45" spans="1:11" s="12" customFormat="1" ht="10.5">
      <c r="A45" s="98"/>
      <c r="B45" s="12" t="s">
        <v>18</v>
      </c>
      <c r="F45" s="22"/>
      <c r="H45" s="21"/>
      <c r="I45" s="20"/>
      <c r="J45" s="60">
        <v>18</v>
      </c>
      <c r="K45" s="21" t="s">
        <v>24</v>
      </c>
    </row>
    <row r="46" spans="1:10" ht="10.5">
      <c r="A46" s="59" t="s">
        <v>480</v>
      </c>
      <c r="B46" s="8" t="s">
        <v>496</v>
      </c>
      <c r="J46" s="60"/>
    </row>
    <row r="47" ht="10.5">
      <c r="J47" s="60"/>
    </row>
    <row r="48" spans="1:17" s="8" customFormat="1" ht="10.5">
      <c r="A48" s="59"/>
      <c r="C48" s="8" t="s">
        <v>355</v>
      </c>
      <c r="I48" s="13" t="s">
        <v>493</v>
      </c>
      <c r="J48" s="60"/>
      <c r="K48" s="8" t="s">
        <v>284</v>
      </c>
      <c r="L48" s="9"/>
      <c r="M48" s="9" t="s">
        <v>485</v>
      </c>
      <c r="N48" s="9"/>
      <c r="Q48" s="8" t="s">
        <v>492</v>
      </c>
    </row>
    <row r="49" spans="2:13" ht="10.5">
      <c r="B49" s="9" t="s">
        <v>471</v>
      </c>
      <c r="C49" s="9" t="s">
        <v>500</v>
      </c>
      <c r="D49" s="9" t="s">
        <v>468</v>
      </c>
      <c r="E49" s="9" t="s">
        <v>400</v>
      </c>
      <c r="F49" s="9" t="s">
        <v>293</v>
      </c>
      <c r="I49" s="10" t="s">
        <v>518</v>
      </c>
      <c r="J49" s="60"/>
      <c r="K49" s="9" t="s">
        <v>486</v>
      </c>
      <c r="L49" s="9" t="s">
        <v>500</v>
      </c>
      <c r="M49" s="9" t="s">
        <v>263</v>
      </c>
    </row>
    <row r="50" spans="2:10" ht="10.5">
      <c r="B50" s="9" t="s">
        <v>608</v>
      </c>
      <c r="I50" s="10" t="s">
        <v>437</v>
      </c>
      <c r="J50" s="60"/>
    </row>
    <row r="51" spans="2:13" ht="10.5">
      <c r="B51" s="9" t="s">
        <v>469</v>
      </c>
      <c r="D51" s="14">
        <f>K6+L6</f>
        <v>551</v>
      </c>
      <c r="E51" s="14">
        <f>E54/E53</f>
        <v>10</v>
      </c>
      <c r="F51" s="9" t="s">
        <v>440</v>
      </c>
      <c r="I51" s="10" t="s">
        <v>532</v>
      </c>
      <c r="J51" s="60"/>
      <c r="M51" s="14">
        <f>K6+L6</f>
        <v>551</v>
      </c>
    </row>
    <row r="52" spans="2:10" ht="10.5">
      <c r="B52" s="9" t="s">
        <v>607</v>
      </c>
      <c r="J52" s="60"/>
    </row>
    <row r="53" spans="1:17" s="27" customFormat="1" ht="10.5">
      <c r="A53" s="59"/>
      <c r="B53" s="27" t="s">
        <v>472</v>
      </c>
      <c r="E53" s="27">
        <v>0.1</v>
      </c>
      <c r="F53" s="27" t="s">
        <v>477</v>
      </c>
      <c r="I53" s="65"/>
      <c r="J53" s="66"/>
      <c r="Q53" s="90" t="s">
        <v>576</v>
      </c>
    </row>
    <row r="54" spans="2:17" ht="10.5">
      <c r="B54" s="9" t="s">
        <v>470</v>
      </c>
      <c r="C54" s="9">
        <v>0</v>
      </c>
      <c r="D54" s="9">
        <v>0</v>
      </c>
      <c r="E54" s="17">
        <v>1</v>
      </c>
      <c r="F54" s="17">
        <v>3</v>
      </c>
      <c r="J54" s="60"/>
      <c r="K54" s="9" t="s">
        <v>445</v>
      </c>
      <c r="L54" s="9" t="s">
        <v>297</v>
      </c>
      <c r="M54" s="9">
        <v>0</v>
      </c>
      <c r="Q54" s="82" t="s">
        <v>577</v>
      </c>
    </row>
    <row r="55" spans="10:17" ht="10.5">
      <c r="J55" s="60"/>
      <c r="M55" s="9" t="s">
        <v>358</v>
      </c>
      <c r="Q55" s="82" t="s">
        <v>578</v>
      </c>
    </row>
    <row r="56" spans="1:10" s="12" customFormat="1" ht="10.5">
      <c r="A56" s="59"/>
      <c r="B56" s="54" t="s">
        <v>320</v>
      </c>
      <c r="I56" s="20"/>
      <c r="J56" s="60"/>
    </row>
    <row r="57" spans="1:11" s="12" customFormat="1" ht="10.5">
      <c r="A57" s="59">
        <v>1</v>
      </c>
      <c r="B57" s="22" t="s">
        <v>271</v>
      </c>
      <c r="I57" s="20"/>
      <c r="J57" s="60">
        <v>6</v>
      </c>
      <c r="K57" s="12" t="s">
        <v>612</v>
      </c>
    </row>
    <row r="58" spans="1:11" s="12" customFormat="1" ht="10.5">
      <c r="A58" s="59"/>
      <c r="B58" s="12" t="s">
        <v>270</v>
      </c>
      <c r="I58" s="20"/>
      <c r="J58" s="60"/>
      <c r="K58" s="12" t="s">
        <v>387</v>
      </c>
    </row>
    <row r="59" spans="1:11" s="12" customFormat="1" ht="10.5">
      <c r="A59" s="59">
        <v>2</v>
      </c>
      <c r="B59" s="12" t="s">
        <v>224</v>
      </c>
      <c r="I59" s="20"/>
      <c r="J59" s="60"/>
      <c r="K59" s="12" t="s">
        <v>562</v>
      </c>
    </row>
    <row r="60" spans="1:11" s="12" customFormat="1" ht="10.5">
      <c r="A60" s="59"/>
      <c r="B60" s="12" t="s">
        <v>175</v>
      </c>
      <c r="I60" s="20"/>
      <c r="J60" s="59"/>
      <c r="K60" s="12" t="s">
        <v>548</v>
      </c>
    </row>
    <row r="61" spans="1:11" s="12" customFormat="1" ht="10.5">
      <c r="A61" s="98"/>
      <c r="I61" s="20"/>
      <c r="J61" s="59"/>
      <c r="K61" s="12" t="s">
        <v>340</v>
      </c>
    </row>
    <row r="62" spans="1:11" s="12" customFormat="1" ht="10.5">
      <c r="A62" s="60">
        <v>3</v>
      </c>
      <c r="B62" s="12" t="s">
        <v>334</v>
      </c>
      <c r="I62" s="20"/>
      <c r="J62" s="64"/>
      <c r="K62" s="12" t="s">
        <v>213</v>
      </c>
    </row>
    <row r="63" spans="1:10" s="12" customFormat="1" ht="10.5">
      <c r="A63" s="60"/>
      <c r="B63" s="12" t="s">
        <v>299</v>
      </c>
      <c r="I63" s="20"/>
      <c r="J63" s="60"/>
    </row>
    <row r="64" spans="1:11" s="12" customFormat="1" ht="10.5">
      <c r="A64" s="60"/>
      <c r="B64" s="12" t="s">
        <v>300</v>
      </c>
      <c r="I64" s="20"/>
      <c r="J64" s="59">
        <v>7</v>
      </c>
      <c r="K64" s="22" t="s">
        <v>533</v>
      </c>
    </row>
    <row r="65" spans="1:11" s="12" customFormat="1" ht="10.5">
      <c r="A65" s="100">
        <v>4</v>
      </c>
      <c r="B65" s="63" t="s">
        <v>516</v>
      </c>
      <c r="I65" s="20"/>
      <c r="J65" s="59"/>
      <c r="K65" s="12" t="s">
        <v>225</v>
      </c>
    </row>
    <row r="66" spans="1:10" s="12" customFormat="1" ht="10.5">
      <c r="A66" s="100"/>
      <c r="B66" s="63" t="s">
        <v>606</v>
      </c>
      <c r="I66" s="20"/>
      <c r="J66" s="59"/>
    </row>
    <row r="67" spans="1:14" s="12" customFormat="1" ht="10.5">
      <c r="A67" s="59"/>
      <c r="I67" s="20"/>
      <c r="J67" s="59">
        <v>8</v>
      </c>
      <c r="K67" s="12" t="s">
        <v>611</v>
      </c>
      <c r="M67" s="21"/>
      <c r="N67" s="22"/>
    </row>
    <row r="68" spans="1:11" s="12" customFormat="1" ht="10.5">
      <c r="A68" s="60">
        <v>5</v>
      </c>
      <c r="B68" s="22" t="s">
        <v>511</v>
      </c>
      <c r="I68" s="20"/>
      <c r="J68" s="64"/>
      <c r="K68" s="12" t="s">
        <v>324</v>
      </c>
    </row>
    <row r="69" spans="1:10" s="12" customFormat="1" ht="10.5">
      <c r="A69" s="60"/>
      <c r="B69" s="12" t="s">
        <v>628</v>
      </c>
      <c r="I69" s="20"/>
      <c r="J69" s="64"/>
    </row>
    <row r="70" spans="1:11" s="12" customFormat="1" ht="10.5">
      <c r="A70" s="60"/>
      <c r="B70" s="12" t="s">
        <v>629</v>
      </c>
      <c r="I70" s="20"/>
      <c r="K70" s="75" t="s">
        <v>162</v>
      </c>
    </row>
    <row r="71" spans="1:11" s="12" customFormat="1" ht="10.5">
      <c r="A71" s="59"/>
      <c r="I71" s="20"/>
      <c r="K71" s="21"/>
    </row>
    <row r="72" spans="1:10" ht="10.5">
      <c r="A72" s="59" t="s">
        <v>497</v>
      </c>
      <c r="B72" s="8" t="s">
        <v>589</v>
      </c>
      <c r="I72" s="20"/>
      <c r="J72" s="60"/>
    </row>
    <row r="73" spans="2:17" ht="10.5">
      <c r="B73" s="8"/>
      <c r="J73" s="60"/>
      <c r="K73" s="8" t="s">
        <v>284</v>
      </c>
      <c r="O73" s="8"/>
      <c r="P73" s="8"/>
      <c r="Q73" s="8" t="s">
        <v>492</v>
      </c>
    </row>
    <row r="74" spans="2:11" ht="10.5">
      <c r="B74" s="8"/>
      <c r="C74" s="8" t="s">
        <v>355</v>
      </c>
      <c r="D74" s="8"/>
      <c r="E74" s="8"/>
      <c r="F74" s="8"/>
      <c r="G74" s="8"/>
      <c r="H74" s="8"/>
      <c r="I74" s="13" t="s">
        <v>493</v>
      </c>
      <c r="J74" s="60"/>
      <c r="K74" s="9" t="s">
        <v>526</v>
      </c>
    </row>
    <row r="75" spans="2:17" ht="10.5">
      <c r="B75" s="9" t="s">
        <v>471</v>
      </c>
      <c r="C75" s="9" t="s">
        <v>263</v>
      </c>
      <c r="D75" s="9" t="s">
        <v>473</v>
      </c>
      <c r="E75" s="9" t="s">
        <v>429</v>
      </c>
      <c r="F75" s="9" t="s">
        <v>412</v>
      </c>
      <c r="I75" s="10" t="s">
        <v>565</v>
      </c>
      <c r="J75" s="60"/>
      <c r="K75" s="9" t="s">
        <v>419</v>
      </c>
      <c r="L75" s="9" t="s">
        <v>462</v>
      </c>
      <c r="M75" s="9" t="s">
        <v>447</v>
      </c>
      <c r="N75" s="9" t="s">
        <v>486</v>
      </c>
      <c r="O75" s="9" t="s">
        <v>500</v>
      </c>
      <c r="P75" s="89" t="s">
        <v>574</v>
      </c>
      <c r="Q75" s="82" t="s">
        <v>575</v>
      </c>
    </row>
    <row r="76" spans="2:10" ht="10.5">
      <c r="B76" s="9" t="s">
        <v>608</v>
      </c>
      <c r="I76" s="10" t="s">
        <v>566</v>
      </c>
      <c r="J76" s="60"/>
    </row>
    <row r="77" spans="2:15" ht="10.5">
      <c r="B77" s="9" t="s">
        <v>469</v>
      </c>
      <c r="C77" s="14">
        <f>M51</f>
        <v>551</v>
      </c>
      <c r="D77" s="14">
        <v>30</v>
      </c>
      <c r="E77" s="9" t="s">
        <v>372</v>
      </c>
      <c r="F77" s="14">
        <f>C77</f>
        <v>551</v>
      </c>
      <c r="J77" s="60"/>
      <c r="K77" s="14">
        <v>400</v>
      </c>
      <c r="L77" s="9">
        <v>139</v>
      </c>
      <c r="M77" s="9">
        <v>539</v>
      </c>
      <c r="O77" s="9" t="s">
        <v>449</v>
      </c>
    </row>
    <row r="78" spans="2:17" ht="12" customHeight="1">
      <c r="B78" s="9" t="s">
        <v>607</v>
      </c>
      <c r="J78" s="60"/>
      <c r="L78" s="9">
        <v>4</v>
      </c>
      <c r="Q78" s="12" t="s">
        <v>214</v>
      </c>
    </row>
    <row r="79" spans="1:17" s="27" customFormat="1" ht="10.5">
      <c r="A79" s="59"/>
      <c r="B79" s="27" t="s">
        <v>472</v>
      </c>
      <c r="D79" s="27">
        <v>0.1</v>
      </c>
      <c r="E79" s="27" t="s">
        <v>440</v>
      </c>
      <c r="F79" s="27">
        <v>0.002</v>
      </c>
      <c r="I79" s="65"/>
      <c r="J79" s="66"/>
      <c r="L79" s="68">
        <v>5</v>
      </c>
      <c r="Q79" s="83" t="s">
        <v>215</v>
      </c>
    </row>
    <row r="80" spans="2:17" ht="10.5">
      <c r="B80" s="9" t="s">
        <v>470</v>
      </c>
      <c r="C80" s="9">
        <v>0</v>
      </c>
      <c r="D80" s="16">
        <f>D77*D79</f>
        <v>3</v>
      </c>
      <c r="E80" s="17">
        <v>4</v>
      </c>
      <c r="F80" s="16">
        <f>F77*F79</f>
        <v>1.102</v>
      </c>
      <c r="J80" s="60"/>
      <c r="L80" s="18">
        <f>L77*L78/100*L79</f>
        <v>27.799999999999997</v>
      </c>
      <c r="Q80" s="22" t="s">
        <v>216</v>
      </c>
    </row>
    <row r="81" spans="3:17" ht="10.5">
      <c r="C81" s="9" t="s">
        <v>358</v>
      </c>
      <c r="J81" s="60"/>
      <c r="K81" s="9" t="s">
        <v>358</v>
      </c>
      <c r="M81" s="9" t="s">
        <v>358</v>
      </c>
      <c r="N81" s="9" t="s">
        <v>358</v>
      </c>
      <c r="O81" s="9" t="s">
        <v>358</v>
      </c>
      <c r="Q81" s="67" t="s">
        <v>217</v>
      </c>
    </row>
    <row r="82" spans="2:17" ht="10.5">
      <c r="B82" s="54" t="s">
        <v>320</v>
      </c>
      <c r="J82" s="60"/>
      <c r="K82" s="9" t="s">
        <v>543</v>
      </c>
      <c r="L82" s="9" t="s">
        <v>448</v>
      </c>
      <c r="N82" s="9" t="s">
        <v>445</v>
      </c>
      <c r="O82" s="9" t="s">
        <v>445</v>
      </c>
      <c r="Q82" s="12" t="s">
        <v>218</v>
      </c>
    </row>
    <row r="83" spans="1:11" s="12" customFormat="1" ht="10.5">
      <c r="A83" s="59">
        <v>1</v>
      </c>
      <c r="B83" s="12" t="s">
        <v>341</v>
      </c>
      <c r="I83" s="20"/>
      <c r="J83" s="59">
        <v>3</v>
      </c>
      <c r="K83" s="12" t="s">
        <v>411</v>
      </c>
    </row>
    <row r="84" spans="1:15" s="12" customFormat="1" ht="10.5">
      <c r="A84" s="59"/>
      <c r="B84" s="12" t="s">
        <v>174</v>
      </c>
      <c r="I84" s="20"/>
      <c r="J84" s="60">
        <v>4</v>
      </c>
      <c r="K84" s="12" t="s">
        <v>310</v>
      </c>
      <c r="O84" s="22"/>
    </row>
    <row r="85" spans="1:11" s="12" customFormat="1" ht="10.5">
      <c r="A85" s="59"/>
      <c r="B85" s="12" t="s">
        <v>243</v>
      </c>
      <c r="I85" s="20"/>
      <c r="K85" s="12" t="s">
        <v>302</v>
      </c>
    </row>
    <row r="86" spans="1:11" s="12" customFormat="1" ht="10.5" customHeight="1">
      <c r="A86" s="59"/>
      <c r="B86" s="12" t="s">
        <v>591</v>
      </c>
      <c r="I86" s="20"/>
      <c r="K86" s="12" t="s">
        <v>136</v>
      </c>
    </row>
    <row r="87" spans="1:11" s="12" customFormat="1" ht="10.5">
      <c r="A87" s="101"/>
      <c r="B87" s="12" t="s">
        <v>464</v>
      </c>
      <c r="I87" s="20"/>
      <c r="K87" s="12" t="s">
        <v>135</v>
      </c>
    </row>
    <row r="88" spans="1:11" s="12" customFormat="1" ht="10.5">
      <c r="A88" s="101"/>
      <c r="B88" s="12" t="s">
        <v>460</v>
      </c>
      <c r="I88" s="20"/>
      <c r="J88" s="60">
        <v>5</v>
      </c>
      <c r="K88" s="12" t="s">
        <v>567</v>
      </c>
    </row>
    <row r="89" spans="1:17" s="12" customFormat="1" ht="10.5">
      <c r="A89" s="60">
        <v>2</v>
      </c>
      <c r="B89" s="21" t="s">
        <v>134</v>
      </c>
      <c r="H89" s="22"/>
      <c r="I89" s="20"/>
      <c r="J89" s="59">
        <v>6</v>
      </c>
      <c r="K89" s="12" t="s">
        <v>488</v>
      </c>
      <c r="Q89" s="22"/>
    </row>
    <row r="90" spans="1:11" s="12" customFormat="1" ht="10.5">
      <c r="A90" s="60"/>
      <c r="B90" s="12" t="s">
        <v>450</v>
      </c>
      <c r="I90" s="20"/>
      <c r="J90" s="60"/>
      <c r="K90" s="12" t="s">
        <v>137</v>
      </c>
    </row>
    <row r="91" spans="1:17" ht="10.5">
      <c r="A91" s="59" t="s">
        <v>498</v>
      </c>
      <c r="B91" s="8" t="s">
        <v>428</v>
      </c>
      <c r="J91" s="60"/>
      <c r="Q91" s="9"/>
    </row>
    <row r="92" spans="10:17" ht="10.5">
      <c r="J92" s="60"/>
      <c r="K92" s="8" t="s">
        <v>284</v>
      </c>
      <c r="O92" s="8"/>
      <c r="P92" s="8"/>
      <c r="Q92" s="8" t="s">
        <v>492</v>
      </c>
    </row>
    <row r="93" spans="1:15" s="8" customFormat="1" ht="10.5">
      <c r="A93" s="59"/>
      <c r="C93" s="8" t="s">
        <v>355</v>
      </c>
      <c r="I93" s="13" t="s">
        <v>493</v>
      </c>
      <c r="J93" s="60"/>
      <c r="K93" s="9" t="s">
        <v>461</v>
      </c>
      <c r="L93" s="9" t="s">
        <v>399</v>
      </c>
      <c r="M93" s="9" t="s">
        <v>406</v>
      </c>
      <c r="N93" s="9" t="s">
        <v>473</v>
      </c>
      <c r="O93" s="9" t="s">
        <v>542</v>
      </c>
    </row>
    <row r="94" spans="2:14" ht="10.5">
      <c r="B94" s="9" t="s">
        <v>471</v>
      </c>
      <c r="C94" s="9" t="s">
        <v>447</v>
      </c>
      <c r="D94" s="9" t="s">
        <v>451</v>
      </c>
      <c r="E94" s="9" t="s">
        <v>438</v>
      </c>
      <c r="F94" s="9" t="s">
        <v>323</v>
      </c>
      <c r="G94" s="9" t="s">
        <v>501</v>
      </c>
      <c r="I94" s="10" t="s">
        <v>452</v>
      </c>
      <c r="J94" s="60"/>
      <c r="K94" s="9" t="s">
        <v>315</v>
      </c>
      <c r="L94" s="9" t="s">
        <v>369</v>
      </c>
      <c r="N94" s="9" t="s">
        <v>396</v>
      </c>
    </row>
    <row r="95" spans="2:12" ht="10.5">
      <c r="B95" s="9" t="s">
        <v>608</v>
      </c>
      <c r="G95" s="9">
        <v>32</v>
      </c>
      <c r="I95" s="10" t="s">
        <v>453</v>
      </c>
      <c r="J95" s="60"/>
      <c r="L95" s="9">
        <v>82</v>
      </c>
    </row>
    <row r="96" spans="2:14" ht="10.5">
      <c r="B96" s="9" t="s">
        <v>469</v>
      </c>
      <c r="C96" s="14">
        <v>539</v>
      </c>
      <c r="D96" s="9" t="s">
        <v>477</v>
      </c>
      <c r="E96" s="14">
        <v>43</v>
      </c>
      <c r="F96" s="14">
        <f>C96</f>
        <v>539</v>
      </c>
      <c r="G96" s="14">
        <f>L6*3*G95/L5</f>
        <v>6.845364705882353</v>
      </c>
      <c r="I96" s="10" t="s">
        <v>454</v>
      </c>
      <c r="J96" s="60"/>
      <c r="K96" s="14">
        <f>L6*K97/100</f>
        <v>58.7917</v>
      </c>
      <c r="L96" s="14">
        <f>L6*0.08</f>
        <v>4.8488</v>
      </c>
      <c r="M96" s="19">
        <v>0</v>
      </c>
      <c r="N96" s="9">
        <v>10</v>
      </c>
    </row>
    <row r="97" spans="2:12" ht="10.5">
      <c r="B97" s="9" t="s">
        <v>607</v>
      </c>
      <c r="J97" s="60"/>
      <c r="K97" s="9">
        <v>97</v>
      </c>
      <c r="L97" s="9">
        <v>95</v>
      </c>
    </row>
    <row r="98" spans="2:14" ht="10.5">
      <c r="B98" s="9" t="s">
        <v>472</v>
      </c>
      <c r="D98" s="9" t="s">
        <v>478</v>
      </c>
      <c r="E98" s="27">
        <v>0.1</v>
      </c>
      <c r="F98" s="27">
        <v>0.002</v>
      </c>
      <c r="G98" s="27">
        <v>0.58</v>
      </c>
      <c r="I98" s="10" t="s">
        <v>455</v>
      </c>
      <c r="J98" s="60"/>
      <c r="K98" s="27"/>
      <c r="L98" s="27">
        <v>1.34</v>
      </c>
      <c r="M98" s="9">
        <v>0</v>
      </c>
      <c r="N98" s="27">
        <v>0.1</v>
      </c>
    </row>
    <row r="99" spans="2:15" ht="10.5">
      <c r="B99" s="9" t="s">
        <v>470</v>
      </c>
      <c r="C99" s="9">
        <v>0</v>
      </c>
      <c r="D99" s="17">
        <v>4</v>
      </c>
      <c r="E99" s="16">
        <f>E96*E98</f>
        <v>4.3</v>
      </c>
      <c r="F99" s="16">
        <f>F96*F98</f>
        <v>1.078</v>
      </c>
      <c r="G99" s="16">
        <f>G96*G98</f>
        <v>3.9703115294117644</v>
      </c>
      <c r="H99" s="17"/>
      <c r="J99" s="60"/>
      <c r="K99" s="9" t="s">
        <v>371</v>
      </c>
      <c r="L99" s="18">
        <f>L96*L97/100*L98</f>
        <v>6.1725224</v>
      </c>
      <c r="M99" s="9" t="s">
        <v>445</v>
      </c>
      <c r="N99" s="18">
        <f>N96*N98</f>
        <v>1</v>
      </c>
      <c r="O99" s="9" t="s">
        <v>456</v>
      </c>
    </row>
    <row r="100" spans="3:15" ht="10.5">
      <c r="C100" s="9" t="s">
        <v>358</v>
      </c>
      <c r="E100" s="14"/>
      <c r="J100" s="60"/>
      <c r="K100" s="9" t="s">
        <v>358</v>
      </c>
      <c r="M100" s="9" t="s">
        <v>358</v>
      </c>
      <c r="O100" s="9" t="s">
        <v>358</v>
      </c>
    </row>
    <row r="101" spans="2:10" ht="10.5">
      <c r="B101" s="54" t="s">
        <v>320</v>
      </c>
      <c r="E101" s="14"/>
      <c r="J101" s="60"/>
    </row>
    <row r="102" spans="1:12" ht="10.5">
      <c r="A102" s="59">
        <v>1</v>
      </c>
      <c r="B102" s="12" t="s">
        <v>568</v>
      </c>
      <c r="J102" s="59">
        <v>5</v>
      </c>
      <c r="K102" s="12" t="s">
        <v>540</v>
      </c>
      <c r="L102" s="12"/>
    </row>
    <row r="103" spans="2:16" ht="10.5">
      <c r="B103" s="12" t="s">
        <v>521</v>
      </c>
      <c r="C103" s="12"/>
      <c r="D103" s="12"/>
      <c r="E103" s="12"/>
      <c r="F103" s="12"/>
      <c r="G103" s="12"/>
      <c r="H103" s="12"/>
      <c r="I103" s="20"/>
      <c r="J103" s="59"/>
      <c r="K103" s="12" t="s">
        <v>230</v>
      </c>
      <c r="L103" s="12"/>
      <c r="M103" s="12"/>
      <c r="N103" s="12"/>
      <c r="O103" s="12"/>
      <c r="P103" s="12"/>
    </row>
    <row r="104" spans="2:16" ht="10.5">
      <c r="B104" s="12" t="s">
        <v>138</v>
      </c>
      <c r="C104" s="12"/>
      <c r="D104" s="12"/>
      <c r="E104" s="12"/>
      <c r="F104" s="12"/>
      <c r="G104" s="12"/>
      <c r="H104" s="12"/>
      <c r="I104" s="20"/>
      <c r="L104" s="12"/>
      <c r="M104" s="12"/>
      <c r="N104" s="12"/>
      <c r="O104" s="12"/>
      <c r="P104" s="12"/>
    </row>
    <row r="105" spans="2:17" ht="10.5">
      <c r="B105" s="12" t="s">
        <v>139</v>
      </c>
      <c r="C105" s="12"/>
      <c r="D105" s="12"/>
      <c r="E105" s="12"/>
      <c r="F105" s="12"/>
      <c r="G105" s="12"/>
      <c r="H105" s="12"/>
      <c r="I105" s="20"/>
      <c r="J105" s="60">
        <v>6</v>
      </c>
      <c r="K105" s="21" t="s">
        <v>333</v>
      </c>
      <c r="L105" s="12"/>
      <c r="M105" s="12"/>
      <c r="N105" s="12"/>
      <c r="O105" s="12"/>
      <c r="P105" s="22"/>
      <c r="Q105" s="22"/>
    </row>
    <row r="106" spans="2:16" ht="10.5">
      <c r="B106" s="12" t="s">
        <v>413</v>
      </c>
      <c r="C106" s="12"/>
      <c r="D106" s="12"/>
      <c r="E106" s="12"/>
      <c r="F106" s="12"/>
      <c r="G106" s="12"/>
      <c r="H106" s="12"/>
      <c r="I106" s="20"/>
      <c r="J106" s="60"/>
      <c r="K106" s="12" t="s">
        <v>489</v>
      </c>
      <c r="L106" s="12"/>
      <c r="M106" s="12"/>
      <c r="N106" s="12"/>
      <c r="O106" s="12"/>
      <c r="P106" s="12"/>
    </row>
    <row r="107" spans="2:16" ht="10.5">
      <c r="B107" s="12" t="s">
        <v>522</v>
      </c>
      <c r="C107" s="12"/>
      <c r="D107" s="12"/>
      <c r="E107" s="12"/>
      <c r="F107" s="12"/>
      <c r="G107" s="12"/>
      <c r="H107" s="12"/>
      <c r="I107" s="20"/>
      <c r="L107" s="12"/>
      <c r="M107" s="12"/>
      <c r="N107" s="12"/>
      <c r="O107" s="12"/>
      <c r="P107" s="12"/>
    </row>
    <row r="108" spans="3:16" ht="10.5">
      <c r="C108" s="12"/>
      <c r="D108" s="12"/>
      <c r="E108" s="12"/>
      <c r="F108" s="12"/>
      <c r="G108" s="12"/>
      <c r="H108" s="12"/>
      <c r="I108" s="20"/>
      <c r="J108" s="60">
        <v>7</v>
      </c>
      <c r="K108" s="22" t="s">
        <v>250</v>
      </c>
      <c r="L108" s="12"/>
      <c r="M108" s="12"/>
      <c r="N108" s="12"/>
      <c r="O108" s="12"/>
      <c r="P108" s="12"/>
    </row>
    <row r="109" spans="1:16" ht="10.5">
      <c r="A109" s="59">
        <v>2</v>
      </c>
      <c r="B109" s="12" t="s">
        <v>275</v>
      </c>
      <c r="C109" s="12"/>
      <c r="D109" s="12"/>
      <c r="E109" s="12"/>
      <c r="F109" s="12"/>
      <c r="G109" s="12"/>
      <c r="H109" s="12"/>
      <c r="I109" s="20"/>
      <c r="K109" s="12" t="s">
        <v>200</v>
      </c>
      <c r="L109" s="12"/>
      <c r="M109" s="12"/>
      <c r="N109" s="12"/>
      <c r="O109" s="12"/>
      <c r="P109" s="12"/>
    </row>
    <row r="110" spans="2:16" ht="10.5">
      <c r="B110" s="12" t="s">
        <v>268</v>
      </c>
      <c r="C110" s="12"/>
      <c r="D110" s="12"/>
      <c r="E110" s="12"/>
      <c r="F110" s="12"/>
      <c r="G110" s="12"/>
      <c r="H110" s="12"/>
      <c r="I110" s="20"/>
      <c r="J110" s="60"/>
      <c r="K110" s="12" t="s">
        <v>202</v>
      </c>
      <c r="L110" s="12"/>
      <c r="M110" s="12"/>
      <c r="N110" s="12"/>
      <c r="O110" s="12"/>
      <c r="P110" s="12"/>
    </row>
    <row r="111" spans="2:16" ht="10.5">
      <c r="B111" s="12" t="s">
        <v>277</v>
      </c>
      <c r="C111" s="12"/>
      <c r="D111" s="12"/>
      <c r="E111" s="12"/>
      <c r="F111" s="12"/>
      <c r="G111" s="12"/>
      <c r="H111" s="12"/>
      <c r="I111" s="20"/>
      <c r="L111" s="12"/>
      <c r="M111" s="12"/>
      <c r="N111" s="12"/>
      <c r="O111" s="12"/>
      <c r="P111" s="12"/>
    </row>
    <row r="112" spans="2:16" ht="10.5">
      <c r="B112" s="12" t="s">
        <v>221</v>
      </c>
      <c r="C112" s="12"/>
      <c r="D112" s="12"/>
      <c r="E112" s="12"/>
      <c r="F112" s="12"/>
      <c r="G112" s="12"/>
      <c r="H112" s="12"/>
      <c r="I112" s="20"/>
      <c r="J112" s="59">
        <v>8</v>
      </c>
      <c r="K112" s="12" t="s">
        <v>201</v>
      </c>
      <c r="L112" s="12"/>
      <c r="M112" s="12"/>
      <c r="N112" s="12"/>
      <c r="O112" s="12"/>
      <c r="P112" s="12"/>
    </row>
    <row r="113" spans="2:16" ht="10.5">
      <c r="B113" s="12" t="s">
        <v>168</v>
      </c>
      <c r="C113" s="12"/>
      <c r="D113" s="12"/>
      <c r="E113" s="12"/>
      <c r="F113" s="12"/>
      <c r="G113" s="12"/>
      <c r="H113" s="12"/>
      <c r="I113" s="20"/>
      <c r="J113" s="59"/>
      <c r="K113" s="12" t="s">
        <v>203</v>
      </c>
      <c r="L113" s="12"/>
      <c r="M113" s="12"/>
      <c r="N113" s="12"/>
      <c r="O113" s="12"/>
      <c r="P113" s="12"/>
    </row>
    <row r="114" spans="2:16" ht="10.5">
      <c r="B114" s="12" t="s">
        <v>169</v>
      </c>
      <c r="D114" s="82" t="s">
        <v>222</v>
      </c>
      <c r="E114" s="12"/>
      <c r="F114" s="12"/>
      <c r="G114" s="12"/>
      <c r="H114" s="12"/>
      <c r="I114" s="20"/>
      <c r="J114" s="59"/>
      <c r="K114" s="12" t="s">
        <v>178</v>
      </c>
      <c r="L114" s="12"/>
      <c r="M114" s="12"/>
      <c r="N114" s="12"/>
      <c r="O114" s="12"/>
      <c r="P114" s="12"/>
    </row>
    <row r="115" spans="3:16" ht="10.5">
      <c r="C115" s="12"/>
      <c r="D115" s="12"/>
      <c r="E115" s="12"/>
      <c r="F115" s="12"/>
      <c r="G115" s="12"/>
      <c r="H115" s="12"/>
      <c r="I115" s="20"/>
      <c r="K115" s="12" t="s">
        <v>380</v>
      </c>
      <c r="L115" s="12"/>
      <c r="M115" s="12"/>
      <c r="N115" s="12"/>
      <c r="O115" s="12"/>
      <c r="P115" s="12"/>
    </row>
    <row r="116" spans="1:16" ht="10.5">
      <c r="A116" s="59">
        <v>3</v>
      </c>
      <c r="B116" s="21" t="s">
        <v>239</v>
      </c>
      <c r="C116" s="12"/>
      <c r="D116" s="12"/>
      <c r="E116" s="12"/>
      <c r="F116" s="12"/>
      <c r="G116" s="12"/>
      <c r="H116" s="12"/>
      <c r="I116" s="20"/>
      <c r="L116" s="12"/>
      <c r="M116" s="12"/>
      <c r="N116" s="12"/>
      <c r="O116" s="12"/>
      <c r="P116" s="12"/>
    </row>
    <row r="117" spans="2:11" ht="10.5">
      <c r="B117" s="12" t="s">
        <v>229</v>
      </c>
      <c r="J117" s="55">
        <v>9</v>
      </c>
      <c r="K117" s="12" t="s">
        <v>194</v>
      </c>
    </row>
    <row r="118" spans="1:11" ht="10.5">
      <c r="A118" s="60"/>
      <c r="B118" s="12" t="s">
        <v>586</v>
      </c>
      <c r="K118" s="12" t="s">
        <v>145</v>
      </c>
    </row>
    <row r="119" spans="2:10" ht="10.5">
      <c r="B119" s="12" t="s">
        <v>223</v>
      </c>
      <c r="J119" s="60"/>
    </row>
    <row r="120" spans="10:11" ht="10.5">
      <c r="J120" s="60">
        <v>10</v>
      </c>
      <c r="K120" s="12" t="s">
        <v>179</v>
      </c>
    </row>
    <row r="121" spans="1:11" ht="10.5">
      <c r="A121" s="59">
        <v>4</v>
      </c>
      <c r="B121" s="12" t="s">
        <v>535</v>
      </c>
      <c r="K121" s="12" t="s">
        <v>204</v>
      </c>
    </row>
    <row r="122" spans="2:11" ht="10.5">
      <c r="B122" s="12" t="s">
        <v>536</v>
      </c>
      <c r="G122" s="11"/>
      <c r="K122" s="12" t="s">
        <v>279</v>
      </c>
    </row>
    <row r="123" spans="1:11" ht="10.5">
      <c r="A123" s="55"/>
      <c r="B123" s="12" t="s">
        <v>343</v>
      </c>
      <c r="G123" s="84"/>
      <c r="K123" s="12" t="s">
        <v>205</v>
      </c>
    </row>
    <row r="124" spans="1:16" ht="10.5">
      <c r="A124" s="55"/>
      <c r="B124" s="12" t="s">
        <v>551</v>
      </c>
      <c r="C124" s="12"/>
      <c r="D124" s="12"/>
      <c r="E124" s="12"/>
      <c r="F124" s="12"/>
      <c r="G124" s="12"/>
      <c r="H124" s="12"/>
      <c r="I124" s="20"/>
      <c r="L124" s="12"/>
      <c r="M124" s="12"/>
      <c r="N124" s="12"/>
      <c r="O124" s="12"/>
      <c r="P124" s="12"/>
    </row>
    <row r="125" spans="2:16" ht="10.5">
      <c r="B125" s="12" t="s">
        <v>345</v>
      </c>
      <c r="C125" s="12"/>
      <c r="D125" s="12"/>
      <c r="E125" s="12"/>
      <c r="F125" s="12"/>
      <c r="G125" s="12"/>
      <c r="H125" s="12"/>
      <c r="I125" s="20"/>
      <c r="J125" s="62"/>
      <c r="K125" s="88"/>
      <c r="L125" s="12" t="s">
        <v>180</v>
      </c>
      <c r="M125" s="12"/>
      <c r="N125" s="12"/>
      <c r="O125" s="12"/>
      <c r="P125" s="12"/>
    </row>
    <row r="126" spans="3:16" ht="10.5">
      <c r="C126" s="12"/>
      <c r="D126" s="12"/>
      <c r="E126" s="12"/>
      <c r="F126" s="12"/>
      <c r="G126" s="12"/>
      <c r="H126" s="12"/>
      <c r="I126" s="20"/>
      <c r="J126" s="60"/>
      <c r="K126" s="12"/>
      <c r="L126" s="12"/>
      <c r="M126" s="12"/>
      <c r="N126" s="12"/>
      <c r="O126" s="12"/>
      <c r="P126" s="12"/>
    </row>
    <row r="127" spans="3:16" ht="10.5">
      <c r="C127" s="12"/>
      <c r="D127" s="12"/>
      <c r="E127" s="12"/>
      <c r="F127" s="12"/>
      <c r="G127" s="12"/>
      <c r="H127" s="12"/>
      <c r="I127" s="20"/>
      <c r="J127" s="64"/>
      <c r="K127" s="12"/>
      <c r="L127" s="12"/>
      <c r="M127" s="12"/>
      <c r="N127" s="12"/>
      <c r="O127" s="12"/>
      <c r="P127" s="12"/>
    </row>
    <row r="128" spans="3:16" ht="10.5">
      <c r="C128" s="12"/>
      <c r="D128" s="12"/>
      <c r="E128" s="12"/>
      <c r="F128" s="12"/>
      <c r="G128" s="12"/>
      <c r="H128" s="12"/>
      <c r="I128" s="20"/>
      <c r="J128" s="64"/>
      <c r="K128" s="12"/>
      <c r="L128" s="12"/>
      <c r="M128" s="12"/>
      <c r="N128" s="12"/>
      <c r="O128" s="12"/>
      <c r="P128" s="12"/>
    </row>
    <row r="129" spans="1:10" s="12" customFormat="1" ht="10.5">
      <c r="A129" s="98"/>
      <c r="I129" s="20"/>
      <c r="J129" s="60"/>
    </row>
    <row r="130" spans="1:11" s="12" customFormat="1" ht="10.5">
      <c r="A130" s="98"/>
      <c r="I130" s="20"/>
      <c r="J130" s="64"/>
      <c r="K130" s="94" t="s">
        <v>126</v>
      </c>
    </row>
    <row r="131" spans="1:10" s="12" customFormat="1" ht="10.5">
      <c r="A131" s="59"/>
      <c r="I131" s="20"/>
      <c r="J131" s="64"/>
    </row>
    <row r="132" spans="1:10" s="12" customFormat="1" ht="10.5">
      <c r="A132" s="59"/>
      <c r="I132" s="20"/>
      <c r="J132" s="64"/>
    </row>
    <row r="133" spans="1:10" s="12" customFormat="1" ht="10.5">
      <c r="A133" s="59"/>
      <c r="I133" s="20"/>
      <c r="J133" s="64"/>
    </row>
    <row r="134" ht="10.5">
      <c r="J134" s="60"/>
    </row>
    <row r="135" spans="1:10" s="12" customFormat="1" ht="10.5">
      <c r="A135" s="59"/>
      <c r="I135" s="20"/>
      <c r="J135" s="60"/>
    </row>
    <row r="136" spans="1:10" ht="10.5">
      <c r="A136" s="59" t="s">
        <v>499</v>
      </c>
      <c r="B136" s="8" t="s">
        <v>89</v>
      </c>
      <c r="J136" s="60"/>
    </row>
    <row r="137" spans="1:17" s="8" customFormat="1" ht="10.5">
      <c r="A137" s="59"/>
      <c r="C137" s="8" t="s">
        <v>355</v>
      </c>
      <c r="I137" s="13" t="s">
        <v>493</v>
      </c>
      <c r="J137" s="60"/>
      <c r="K137" s="8" t="s">
        <v>284</v>
      </c>
      <c r="L137" s="9"/>
      <c r="M137" s="9"/>
      <c r="N137" s="9"/>
      <c r="Q137" s="8" t="s">
        <v>492</v>
      </c>
    </row>
    <row r="138" spans="9:14" ht="10.5">
      <c r="I138" s="10" t="s">
        <v>248</v>
      </c>
      <c r="J138" s="60"/>
      <c r="N138" s="9" t="s">
        <v>353</v>
      </c>
    </row>
    <row r="139" spans="2:16" ht="10.5">
      <c r="B139" s="9" t="s">
        <v>471</v>
      </c>
      <c r="C139" s="9" t="s">
        <v>596</v>
      </c>
      <c r="D139" s="9" t="s">
        <v>473</v>
      </c>
      <c r="E139" s="9" t="s">
        <v>323</v>
      </c>
      <c r="F139" s="9" t="s">
        <v>417</v>
      </c>
      <c r="G139" s="9" t="s">
        <v>390</v>
      </c>
      <c r="H139" s="9" t="s">
        <v>280</v>
      </c>
      <c r="I139" s="10" t="s">
        <v>247</v>
      </c>
      <c r="J139" s="60"/>
      <c r="K139" s="9" t="s">
        <v>252</v>
      </c>
      <c r="L139" s="9" t="s">
        <v>101</v>
      </c>
      <c r="M139" s="9" t="s">
        <v>102</v>
      </c>
      <c r="N139" s="9" t="s">
        <v>597</v>
      </c>
      <c r="O139" s="9" t="s">
        <v>390</v>
      </c>
      <c r="P139" s="9" t="s">
        <v>406</v>
      </c>
    </row>
    <row r="140" spans="2:10" ht="10.5">
      <c r="B140" s="9" t="s">
        <v>608</v>
      </c>
      <c r="I140" s="10" t="s">
        <v>444</v>
      </c>
      <c r="J140" s="60"/>
    </row>
    <row r="141" spans="2:17" ht="10.5">
      <c r="B141" s="9" t="s">
        <v>469</v>
      </c>
      <c r="C141" s="14">
        <f>K96</f>
        <v>58.7917</v>
      </c>
      <c r="D141" s="14">
        <v>220</v>
      </c>
      <c r="E141" s="14">
        <f>K96+L96+M96</f>
        <v>63.640499999999996</v>
      </c>
      <c r="F141" s="9" t="s">
        <v>475</v>
      </c>
      <c r="H141" s="9" t="s">
        <v>476</v>
      </c>
      <c r="I141" s="10" t="s">
        <v>208</v>
      </c>
      <c r="J141" s="60"/>
      <c r="K141" s="14">
        <f>0.15*C141*K142/100</f>
        <v>8.6423799</v>
      </c>
      <c r="L141" s="14">
        <f>0.67*C141*L142/100</f>
        <v>38.60263022</v>
      </c>
      <c r="M141" s="14">
        <f>0.15*C141*M142/100</f>
        <v>8.6423799</v>
      </c>
      <c r="N141" s="14">
        <f>0.012*C141*N142/100</f>
        <v>0.691390392</v>
      </c>
      <c r="Q141" s="85" t="s">
        <v>181</v>
      </c>
    </row>
    <row r="142" spans="2:14" ht="10.5">
      <c r="B142" s="9" t="s">
        <v>607</v>
      </c>
      <c r="I142" s="10" t="s">
        <v>439</v>
      </c>
      <c r="J142" s="60"/>
      <c r="K142" s="9">
        <v>98</v>
      </c>
      <c r="L142" s="9">
        <v>98</v>
      </c>
      <c r="M142" s="9">
        <v>98</v>
      </c>
      <c r="N142" s="9">
        <v>98</v>
      </c>
    </row>
    <row r="143" spans="1:17" s="27" customFormat="1" ht="10.5">
      <c r="A143" s="59"/>
      <c r="B143" s="27" t="s">
        <v>472</v>
      </c>
      <c r="D143" s="27">
        <v>0.1</v>
      </c>
      <c r="E143" s="27">
        <v>0.004</v>
      </c>
      <c r="F143" s="27" t="s">
        <v>503</v>
      </c>
      <c r="H143" s="27" t="s">
        <v>373</v>
      </c>
      <c r="I143" s="65"/>
      <c r="J143" s="66"/>
      <c r="K143" s="77">
        <v>1.49</v>
      </c>
      <c r="L143" s="77">
        <v>1.42</v>
      </c>
      <c r="M143" s="77">
        <v>1.58</v>
      </c>
      <c r="N143" s="77">
        <v>0.79</v>
      </c>
      <c r="Q143" s="83" t="s">
        <v>433</v>
      </c>
    </row>
    <row r="144" spans="2:17" ht="10.5">
      <c r="B144" s="9" t="s">
        <v>470</v>
      </c>
      <c r="C144" s="9">
        <v>0</v>
      </c>
      <c r="D144" s="16">
        <f>D141*D143</f>
        <v>22</v>
      </c>
      <c r="E144" s="16">
        <f>E141*E143</f>
        <v>0.254562</v>
      </c>
      <c r="F144" s="17">
        <v>8</v>
      </c>
      <c r="G144" s="9">
        <v>0</v>
      </c>
      <c r="H144" s="17">
        <v>2</v>
      </c>
      <c r="J144" s="60"/>
      <c r="K144" s="18">
        <f>K141*K142/100*K143</f>
        <v>12.619603129979998</v>
      </c>
      <c r="L144" s="18">
        <f>L141*L142/100*L143</f>
        <v>53.719420214151995</v>
      </c>
      <c r="M144" s="18">
        <f>M141*M142/100*M143</f>
        <v>13.38186103716</v>
      </c>
      <c r="N144" s="18">
        <f>N141*N142/100*N143</f>
        <v>0.5352744414863999</v>
      </c>
      <c r="O144" s="9" t="s">
        <v>445</v>
      </c>
      <c r="P144" s="9" t="s">
        <v>445</v>
      </c>
      <c r="Q144" s="67" t="s">
        <v>432</v>
      </c>
    </row>
    <row r="145" spans="2:17" ht="10.5">
      <c r="B145" s="12"/>
      <c r="C145" s="12"/>
      <c r="D145" s="12"/>
      <c r="E145" s="12"/>
      <c r="F145" s="12"/>
      <c r="G145" s="12"/>
      <c r="H145" s="12"/>
      <c r="I145" s="20"/>
      <c r="J145" s="60"/>
      <c r="K145" s="12"/>
      <c r="L145" s="12"/>
      <c r="M145" s="12"/>
      <c r="N145" s="12"/>
      <c r="O145" s="9" t="s">
        <v>249</v>
      </c>
      <c r="P145" s="12"/>
      <c r="Q145" s="12" t="s">
        <v>434</v>
      </c>
    </row>
    <row r="146" spans="2:17" ht="10.5">
      <c r="B146" s="54" t="s">
        <v>320</v>
      </c>
      <c r="C146" s="12"/>
      <c r="D146" s="12"/>
      <c r="E146" s="12"/>
      <c r="F146" s="12"/>
      <c r="G146" s="12"/>
      <c r="H146" s="12"/>
      <c r="I146" s="20"/>
      <c r="J146" s="60"/>
      <c r="K146" s="12"/>
      <c r="L146" s="12"/>
      <c r="M146" s="12"/>
      <c r="N146" s="12"/>
      <c r="O146" s="12"/>
      <c r="P146" s="12"/>
      <c r="Q146" s="12" t="s">
        <v>431</v>
      </c>
    </row>
    <row r="147" spans="1:16" ht="10.5">
      <c r="A147" s="59">
        <v>1</v>
      </c>
      <c r="B147" s="12" t="s">
        <v>198</v>
      </c>
      <c r="C147" s="12"/>
      <c r="D147" s="12"/>
      <c r="E147" s="12"/>
      <c r="F147" s="12"/>
      <c r="G147" s="12"/>
      <c r="H147" s="12"/>
      <c r="I147" s="20"/>
      <c r="J147" s="55">
        <v>7</v>
      </c>
      <c r="K147" s="12" t="s">
        <v>170</v>
      </c>
      <c r="L147" s="12"/>
      <c r="M147" s="12"/>
      <c r="N147" s="12"/>
      <c r="O147" s="12"/>
      <c r="P147" s="12"/>
    </row>
    <row r="148" spans="2:17" ht="10.5">
      <c r="B148" s="12" t="s">
        <v>304</v>
      </c>
      <c r="C148" s="12"/>
      <c r="D148" s="12"/>
      <c r="E148" s="12"/>
      <c r="F148" s="12"/>
      <c r="G148" s="12"/>
      <c r="H148" s="12"/>
      <c r="I148" s="20"/>
      <c r="J148" s="60"/>
      <c r="K148" s="12" t="s">
        <v>619</v>
      </c>
      <c r="L148" s="12"/>
      <c r="M148" s="12"/>
      <c r="N148" s="21"/>
      <c r="O148" s="12"/>
      <c r="P148" s="22"/>
      <c r="Q148" s="22"/>
    </row>
    <row r="149" spans="2:16" ht="10.5">
      <c r="B149" s="12" t="s">
        <v>281</v>
      </c>
      <c r="C149" s="12"/>
      <c r="D149" s="12"/>
      <c r="E149" s="12"/>
      <c r="F149" s="12"/>
      <c r="G149" s="12"/>
      <c r="H149" s="12"/>
      <c r="I149" s="20"/>
      <c r="J149" s="60">
        <v>8</v>
      </c>
      <c r="K149" s="12" t="s">
        <v>552</v>
      </c>
      <c r="L149" s="12"/>
      <c r="M149" s="12"/>
      <c r="N149" s="12"/>
      <c r="O149" s="12"/>
      <c r="P149" s="12"/>
    </row>
    <row r="150" spans="2:16" ht="10.5">
      <c r="B150" s="12" t="s">
        <v>199</v>
      </c>
      <c r="C150" s="12"/>
      <c r="D150" s="12"/>
      <c r="E150" s="12"/>
      <c r="F150" s="12"/>
      <c r="G150" s="12"/>
      <c r="H150" s="22"/>
      <c r="I150" s="20"/>
      <c r="J150" s="60"/>
      <c r="K150" s="12" t="s">
        <v>183</v>
      </c>
      <c r="L150" s="12"/>
      <c r="M150" s="12"/>
      <c r="N150" s="12"/>
      <c r="O150" s="12"/>
      <c r="P150" s="12"/>
    </row>
    <row r="151" spans="1:16" ht="10.5">
      <c r="A151" s="59">
        <v>2</v>
      </c>
      <c r="B151" s="12" t="s">
        <v>539</v>
      </c>
      <c r="C151" s="12"/>
      <c r="D151" s="12"/>
      <c r="E151" s="12"/>
      <c r="F151" s="12"/>
      <c r="G151" s="12"/>
      <c r="H151" s="12"/>
      <c r="I151" s="20"/>
      <c r="J151" s="60">
        <v>9</v>
      </c>
      <c r="K151" s="12" t="s">
        <v>240</v>
      </c>
      <c r="L151" s="12"/>
      <c r="M151" s="12"/>
      <c r="N151" s="12"/>
      <c r="O151" s="12"/>
      <c r="P151" s="12"/>
    </row>
    <row r="152" spans="1:16" ht="10.5">
      <c r="A152" s="59">
        <v>3</v>
      </c>
      <c r="B152" s="12" t="s">
        <v>206</v>
      </c>
      <c r="C152" s="12"/>
      <c r="D152" s="12"/>
      <c r="E152" s="12"/>
      <c r="F152" s="12"/>
      <c r="G152" s="22"/>
      <c r="H152" s="12"/>
      <c r="I152" s="20"/>
      <c r="L152" s="12"/>
      <c r="M152" s="12"/>
      <c r="N152" s="12"/>
      <c r="O152" s="12"/>
      <c r="P152" s="12"/>
    </row>
    <row r="153" spans="2:16" ht="10.5">
      <c r="B153" s="12" t="s">
        <v>209</v>
      </c>
      <c r="C153" s="12"/>
      <c r="D153" s="12"/>
      <c r="E153" s="12"/>
      <c r="F153" s="12"/>
      <c r="G153" s="12"/>
      <c r="H153" s="12"/>
      <c r="I153" s="20"/>
      <c r="J153" s="60">
        <v>10</v>
      </c>
      <c r="K153" s="12" t="s">
        <v>620</v>
      </c>
      <c r="L153" s="12"/>
      <c r="M153" s="12"/>
      <c r="N153" s="12"/>
      <c r="O153" s="12"/>
      <c r="P153" s="12"/>
    </row>
    <row r="154" spans="2:16" ht="10.5">
      <c r="B154" s="12" t="s">
        <v>210</v>
      </c>
      <c r="C154" s="12"/>
      <c r="D154" s="12"/>
      <c r="E154" s="12"/>
      <c r="F154" s="12"/>
      <c r="G154" s="12"/>
      <c r="H154" s="12"/>
      <c r="I154" s="20"/>
      <c r="L154" s="12"/>
      <c r="M154" s="12"/>
      <c r="N154" s="12"/>
      <c r="O154" s="12"/>
      <c r="P154" s="12"/>
    </row>
    <row r="155" spans="1:16" ht="10.5">
      <c r="A155" s="59">
        <v>4</v>
      </c>
      <c r="B155" s="12" t="s">
        <v>537</v>
      </c>
      <c r="C155" s="12"/>
      <c r="D155" s="12"/>
      <c r="E155" s="12"/>
      <c r="F155" s="12"/>
      <c r="G155" s="12"/>
      <c r="H155" s="12"/>
      <c r="I155" s="20"/>
      <c r="J155" s="69">
        <v>11</v>
      </c>
      <c r="K155" s="12" t="s">
        <v>207</v>
      </c>
      <c r="L155" s="12"/>
      <c r="M155" s="12"/>
      <c r="N155" s="12"/>
      <c r="O155" s="12"/>
      <c r="P155" s="12"/>
    </row>
    <row r="156" spans="1:16" ht="10.5">
      <c r="A156" s="59">
        <v>5</v>
      </c>
      <c r="B156" s="12" t="s">
        <v>305</v>
      </c>
      <c r="C156" s="12"/>
      <c r="D156" s="22"/>
      <c r="E156" s="22"/>
      <c r="F156" s="22"/>
      <c r="G156" s="12"/>
      <c r="H156" s="12"/>
      <c r="I156" s="20"/>
      <c r="K156" s="12" t="s">
        <v>182</v>
      </c>
      <c r="L156" s="12"/>
      <c r="M156" s="12"/>
      <c r="N156" s="12"/>
      <c r="O156" s="12"/>
      <c r="P156" s="12"/>
    </row>
    <row r="157" spans="2:16" ht="12" customHeight="1">
      <c r="B157" s="12" t="s">
        <v>306</v>
      </c>
      <c r="C157" s="12"/>
      <c r="D157" s="12"/>
      <c r="E157" s="12"/>
      <c r="F157" s="12"/>
      <c r="G157" s="12"/>
      <c r="H157" s="12"/>
      <c r="I157" s="20"/>
      <c r="K157" s="12" t="s">
        <v>283</v>
      </c>
      <c r="L157" s="12"/>
      <c r="M157" s="12"/>
      <c r="N157" s="12"/>
      <c r="O157" s="12"/>
      <c r="P157" s="12"/>
    </row>
    <row r="158" spans="3:16" ht="10.5">
      <c r="C158" s="12"/>
      <c r="D158" s="12"/>
      <c r="E158" s="12"/>
      <c r="F158" s="12"/>
      <c r="G158" s="12"/>
      <c r="H158" s="12"/>
      <c r="I158" s="20"/>
      <c r="K158" s="12" t="s">
        <v>227</v>
      </c>
      <c r="L158" s="12"/>
      <c r="M158" s="12"/>
      <c r="N158" s="12"/>
      <c r="O158" s="12"/>
      <c r="P158" s="12"/>
    </row>
    <row r="159" spans="1:16" ht="10.5">
      <c r="A159" s="60">
        <v>6</v>
      </c>
      <c r="B159" s="12" t="s">
        <v>538</v>
      </c>
      <c r="C159" s="12"/>
      <c r="D159" s="12"/>
      <c r="E159" s="12"/>
      <c r="F159" s="12"/>
      <c r="G159" s="12"/>
      <c r="H159" s="12"/>
      <c r="I159" s="20"/>
      <c r="K159" s="12" t="s">
        <v>278</v>
      </c>
      <c r="L159" s="12"/>
      <c r="M159" s="12"/>
      <c r="N159" s="12"/>
      <c r="O159" s="12"/>
      <c r="P159" s="12"/>
    </row>
    <row r="160" spans="1:16" ht="10.5">
      <c r="A160" s="60"/>
      <c r="B160" s="12" t="s">
        <v>494</v>
      </c>
      <c r="C160" s="12"/>
      <c r="D160" s="12"/>
      <c r="E160" s="12"/>
      <c r="F160" s="12"/>
      <c r="G160" s="12"/>
      <c r="H160" s="12"/>
      <c r="I160" s="20"/>
      <c r="K160" s="12" t="s">
        <v>553</v>
      </c>
      <c r="L160" s="12"/>
      <c r="M160" s="12"/>
      <c r="N160" s="12"/>
      <c r="O160" s="12"/>
      <c r="P160" s="12"/>
    </row>
    <row r="161" spans="2:16" ht="10.5">
      <c r="B161" s="12"/>
      <c r="C161" s="12"/>
      <c r="D161" s="12"/>
      <c r="E161" s="12"/>
      <c r="F161" s="12"/>
      <c r="G161" s="12"/>
      <c r="H161" s="12"/>
      <c r="I161" s="20"/>
      <c r="K161" s="12" t="s">
        <v>554</v>
      </c>
      <c r="L161" s="12"/>
      <c r="M161" s="12"/>
      <c r="N161" s="12"/>
      <c r="O161" s="12"/>
      <c r="P161" s="12"/>
    </row>
    <row r="162" spans="1:16" ht="10.5">
      <c r="A162" s="59" t="s">
        <v>615</v>
      </c>
      <c r="B162" s="8" t="s">
        <v>164</v>
      </c>
      <c r="D162" s="12"/>
      <c r="E162" s="12"/>
      <c r="F162" s="12"/>
      <c r="G162" s="12"/>
      <c r="H162" s="12"/>
      <c r="I162" s="20"/>
      <c r="J162" s="60"/>
      <c r="L162" s="12"/>
      <c r="M162" s="12"/>
      <c r="N162" s="12"/>
      <c r="O162" s="12"/>
      <c r="P162" s="12"/>
    </row>
    <row r="163" spans="2:17" ht="10.5">
      <c r="B163" s="12"/>
      <c r="C163" s="12"/>
      <c r="D163" s="12"/>
      <c r="E163" s="12"/>
      <c r="F163" s="12"/>
      <c r="G163" s="12"/>
      <c r="H163" s="12"/>
      <c r="I163" s="20"/>
      <c r="J163" s="60"/>
      <c r="K163" s="8" t="s">
        <v>284</v>
      </c>
      <c r="L163" s="8"/>
      <c r="M163" s="8"/>
      <c r="N163" s="8"/>
      <c r="O163" s="8"/>
      <c r="P163" s="8"/>
      <c r="Q163" s="8" t="s">
        <v>492</v>
      </c>
    </row>
    <row r="164" spans="3:10" ht="10.5">
      <c r="C164" s="8" t="s">
        <v>355</v>
      </c>
      <c r="I164" s="13" t="s">
        <v>493</v>
      </c>
      <c r="J164" s="60"/>
    </row>
    <row r="165" spans="2:16" ht="10.5">
      <c r="B165" s="9" t="s">
        <v>471</v>
      </c>
      <c r="C165" s="9" t="s">
        <v>84</v>
      </c>
      <c r="D165" s="9" t="s">
        <v>150</v>
      </c>
      <c r="E165" s="9" t="s">
        <v>473</v>
      </c>
      <c r="F165" s="9" t="s">
        <v>165</v>
      </c>
      <c r="G165" s="9" t="s">
        <v>132</v>
      </c>
      <c r="H165" s="9" t="s">
        <v>111</v>
      </c>
      <c r="I165" s="10" t="s">
        <v>35</v>
      </c>
      <c r="J165" s="60"/>
      <c r="K165" s="9" t="s">
        <v>167</v>
      </c>
      <c r="L165" s="9" t="s">
        <v>85</v>
      </c>
      <c r="M165" s="9" t="s">
        <v>111</v>
      </c>
      <c r="N165" s="9" t="s">
        <v>114</v>
      </c>
      <c r="O165" s="9" t="s">
        <v>542</v>
      </c>
      <c r="P165" s="9" t="s">
        <v>115</v>
      </c>
    </row>
    <row r="166" spans="2:10" ht="10.5">
      <c r="B166" s="9" t="s">
        <v>608</v>
      </c>
      <c r="I166" s="10" t="s">
        <v>36</v>
      </c>
      <c r="J166" s="60"/>
    </row>
    <row r="167" spans="2:12" ht="10.5">
      <c r="B167" s="9" t="s">
        <v>469</v>
      </c>
      <c r="C167" s="14"/>
      <c r="D167" s="14"/>
      <c r="F167" s="14"/>
      <c r="I167" s="65" t="s">
        <v>166</v>
      </c>
      <c r="J167" s="60"/>
      <c r="K167" s="14"/>
      <c r="L167" s="14"/>
    </row>
    <row r="168" spans="2:17" ht="10.5">
      <c r="B168" s="9" t="s">
        <v>607</v>
      </c>
      <c r="I168" s="10" t="s">
        <v>160</v>
      </c>
      <c r="J168" s="60"/>
      <c r="K168" s="89">
        <v>75</v>
      </c>
      <c r="L168" s="9">
        <v>3</v>
      </c>
      <c r="Q168" s="95"/>
    </row>
    <row r="169" spans="1:17" s="27" customFormat="1" ht="10.5">
      <c r="A169" s="59"/>
      <c r="B169" s="27" t="s">
        <v>472</v>
      </c>
      <c r="I169" s="10" t="s">
        <v>161</v>
      </c>
      <c r="J169" s="66"/>
      <c r="K169" s="77"/>
      <c r="L169" s="67"/>
      <c r="M169" s="67"/>
      <c r="Q169" s="67"/>
    </row>
    <row r="170" spans="2:16" ht="10.5">
      <c r="B170" s="9" t="s">
        <v>470</v>
      </c>
      <c r="C170" s="17"/>
      <c r="D170" s="17"/>
      <c r="E170" s="17"/>
      <c r="F170" s="9" t="s">
        <v>86</v>
      </c>
      <c r="G170" s="17"/>
      <c r="H170" s="9" t="s">
        <v>86</v>
      </c>
      <c r="I170" s="65" t="s">
        <v>159</v>
      </c>
      <c r="J170" s="60"/>
      <c r="K170" s="18"/>
      <c r="L170" s="9" t="s">
        <v>64</v>
      </c>
      <c r="M170" s="9" t="s">
        <v>64</v>
      </c>
      <c r="N170" s="9" t="s">
        <v>64</v>
      </c>
      <c r="O170" s="9" t="s">
        <v>112</v>
      </c>
      <c r="P170" s="9" t="s">
        <v>116</v>
      </c>
    </row>
    <row r="171" spans="9:16" ht="10.5">
      <c r="I171" s="10" t="s">
        <v>128</v>
      </c>
      <c r="J171" s="60"/>
      <c r="K171" s="12"/>
      <c r="L171" s="9" t="s">
        <v>148</v>
      </c>
      <c r="M171" s="9" t="s">
        <v>149</v>
      </c>
      <c r="N171" s="9" t="s">
        <v>148</v>
      </c>
      <c r="O171" s="9" t="s">
        <v>113</v>
      </c>
      <c r="P171" s="9" t="s">
        <v>117</v>
      </c>
    </row>
    <row r="172" spans="2:10" ht="10.5">
      <c r="B172" s="54" t="s">
        <v>320</v>
      </c>
      <c r="I172" s="10" t="s">
        <v>124</v>
      </c>
      <c r="J172" s="60"/>
    </row>
    <row r="173" spans="1:15" s="12" customFormat="1" ht="10.5">
      <c r="A173" s="59">
        <v>1</v>
      </c>
      <c r="B173" s="12" t="s">
        <v>131</v>
      </c>
      <c r="I173" s="20"/>
      <c r="J173" s="60">
        <v>4</v>
      </c>
      <c r="K173" s="12" t="s">
        <v>155</v>
      </c>
      <c r="O173" s="21"/>
    </row>
    <row r="174" spans="1:15" s="12" customFormat="1" ht="10.5">
      <c r="A174" s="59"/>
      <c r="B174" s="12" t="s">
        <v>34</v>
      </c>
      <c r="I174" s="20"/>
      <c r="J174" s="60"/>
      <c r="K174" s="12" t="s">
        <v>156</v>
      </c>
      <c r="O174" s="21"/>
    </row>
    <row r="175" spans="1:15" s="12" customFormat="1" ht="10.5">
      <c r="A175" s="59">
        <v>2</v>
      </c>
      <c r="B175" s="12" t="s">
        <v>37</v>
      </c>
      <c r="I175" s="20"/>
      <c r="K175" s="21" t="s">
        <v>157</v>
      </c>
      <c r="O175" s="21"/>
    </row>
    <row r="176" spans="1:16" s="12" customFormat="1" ht="10.5">
      <c r="A176" s="59"/>
      <c r="B176" s="12" t="s">
        <v>38</v>
      </c>
      <c r="I176" s="20"/>
      <c r="J176" s="60"/>
      <c r="K176" s="12" t="s">
        <v>133</v>
      </c>
      <c r="O176" s="21"/>
      <c r="P176" s="21"/>
    </row>
    <row r="177" spans="1:17" s="12" customFormat="1" ht="10.5">
      <c r="A177" s="59"/>
      <c r="I177" s="20"/>
      <c r="J177" s="60">
        <v>5</v>
      </c>
      <c r="K177" s="21" t="s">
        <v>147</v>
      </c>
      <c r="O177" s="21"/>
      <c r="P177" s="21"/>
      <c r="Q177" s="21"/>
    </row>
    <row r="178" spans="1:16" s="12" customFormat="1" ht="10.5">
      <c r="A178" s="59">
        <v>3</v>
      </c>
      <c r="B178" s="12" t="s">
        <v>158</v>
      </c>
      <c r="I178" s="20"/>
      <c r="J178" s="60">
        <v>6</v>
      </c>
      <c r="K178" s="21" t="s">
        <v>72</v>
      </c>
      <c r="O178" s="21"/>
      <c r="P178" s="21"/>
    </row>
    <row r="179" spans="1:16" s="12" customFormat="1" ht="10.5">
      <c r="A179" s="59"/>
      <c r="B179" s="12" t="s">
        <v>130</v>
      </c>
      <c r="I179" s="20"/>
      <c r="J179" s="60"/>
      <c r="K179" s="21" t="s">
        <v>146</v>
      </c>
      <c r="O179" s="21"/>
      <c r="P179" s="21"/>
    </row>
    <row r="180" spans="1:16" s="12" customFormat="1" ht="10.5">
      <c r="A180" s="59"/>
      <c r="B180" s="12" t="s">
        <v>129</v>
      </c>
      <c r="I180" s="20"/>
      <c r="J180" s="91">
        <v>7</v>
      </c>
      <c r="K180" s="12" t="s">
        <v>127</v>
      </c>
      <c r="O180" s="21"/>
      <c r="P180" s="21"/>
    </row>
    <row r="181" spans="1:16" ht="10.5">
      <c r="A181" s="59" t="s">
        <v>615</v>
      </c>
      <c r="B181" s="8" t="s">
        <v>118</v>
      </c>
      <c r="D181" s="12"/>
      <c r="E181" s="12" t="s">
        <v>599</v>
      </c>
      <c r="F181" s="12"/>
      <c r="G181" s="12"/>
      <c r="H181" s="12"/>
      <c r="I181" s="20"/>
      <c r="J181" s="60"/>
      <c r="L181" s="12"/>
      <c r="M181" s="12"/>
      <c r="N181" s="12"/>
      <c r="O181" s="12"/>
      <c r="P181" s="12"/>
    </row>
    <row r="182" spans="2:17" ht="10.5">
      <c r="B182" s="12"/>
      <c r="C182" s="12"/>
      <c r="D182" s="12"/>
      <c r="E182" s="12"/>
      <c r="F182" s="12"/>
      <c r="G182" s="12"/>
      <c r="H182" s="12"/>
      <c r="I182" s="20"/>
      <c r="J182" s="60"/>
      <c r="K182" s="8" t="s">
        <v>284</v>
      </c>
      <c r="L182" s="8"/>
      <c r="M182" s="8"/>
      <c r="N182" s="8"/>
      <c r="O182" s="8"/>
      <c r="P182" s="8"/>
      <c r="Q182" s="8" t="s">
        <v>492</v>
      </c>
    </row>
    <row r="183" spans="3:10" ht="10.5">
      <c r="C183" s="8" t="s">
        <v>355</v>
      </c>
      <c r="I183" s="13" t="s">
        <v>493</v>
      </c>
      <c r="J183" s="60"/>
    </row>
    <row r="184" spans="2:16" ht="10.5">
      <c r="B184" s="9" t="s">
        <v>471</v>
      </c>
      <c r="C184" s="89" t="s">
        <v>605</v>
      </c>
      <c r="D184" s="9" t="s">
        <v>150</v>
      </c>
      <c r="E184" s="9" t="s">
        <v>473</v>
      </c>
      <c r="F184" s="9" t="s">
        <v>165</v>
      </c>
      <c r="G184" s="9" t="s">
        <v>132</v>
      </c>
      <c r="H184" s="9" t="s">
        <v>111</v>
      </c>
      <c r="I184" s="10" t="s">
        <v>120</v>
      </c>
      <c r="J184" s="60"/>
      <c r="K184" s="9" t="s">
        <v>123</v>
      </c>
      <c r="L184" s="9" t="s">
        <v>85</v>
      </c>
      <c r="M184" s="9" t="s">
        <v>111</v>
      </c>
      <c r="N184" s="9" t="s">
        <v>114</v>
      </c>
      <c r="O184" s="9" t="s">
        <v>542</v>
      </c>
      <c r="P184" s="9" t="s">
        <v>115</v>
      </c>
    </row>
    <row r="185" spans="2:10" ht="10.5">
      <c r="B185" s="9" t="s">
        <v>608</v>
      </c>
      <c r="I185" s="10" t="s">
        <v>121</v>
      </c>
      <c r="J185" s="60"/>
    </row>
    <row r="186" spans="2:12" ht="10.5">
      <c r="B186" s="9" t="s">
        <v>469</v>
      </c>
      <c r="C186" s="14"/>
      <c r="D186" s="14"/>
      <c r="F186" s="14"/>
      <c r="I186" s="65" t="s">
        <v>119</v>
      </c>
      <c r="J186" s="60"/>
      <c r="K186" s="14"/>
      <c r="L186" s="14"/>
    </row>
    <row r="187" spans="2:17" ht="10.5">
      <c r="B187" s="9" t="s">
        <v>607</v>
      </c>
      <c r="I187" s="10" t="s">
        <v>128</v>
      </c>
      <c r="J187" s="60"/>
      <c r="K187" s="89">
        <v>68</v>
      </c>
      <c r="L187" s="9">
        <v>3</v>
      </c>
      <c r="Q187" s="95"/>
    </row>
    <row r="188" spans="1:17" s="27" customFormat="1" ht="10.5">
      <c r="A188" s="59"/>
      <c r="B188" s="27" t="s">
        <v>472</v>
      </c>
      <c r="I188" s="10" t="s">
        <v>125</v>
      </c>
      <c r="J188" s="66"/>
      <c r="K188" s="77"/>
      <c r="L188" s="67"/>
      <c r="M188" s="67"/>
      <c r="Q188" s="67"/>
    </row>
    <row r="189" spans="2:16" ht="10.5">
      <c r="B189" s="9" t="s">
        <v>470</v>
      </c>
      <c r="C189" s="17"/>
      <c r="D189" s="17"/>
      <c r="E189" s="17"/>
      <c r="F189" s="9" t="s">
        <v>86</v>
      </c>
      <c r="G189" s="17"/>
      <c r="H189" s="9" t="s">
        <v>86</v>
      </c>
      <c r="I189" s="65"/>
      <c r="J189" s="60"/>
      <c r="K189" s="18"/>
      <c r="L189" s="9" t="s">
        <v>64</v>
      </c>
      <c r="M189" s="9" t="s">
        <v>64</v>
      </c>
      <c r="N189" s="9" t="s">
        <v>64</v>
      </c>
      <c r="O189" s="9" t="s">
        <v>112</v>
      </c>
      <c r="P189" s="9" t="s">
        <v>116</v>
      </c>
    </row>
    <row r="190" spans="10:16" ht="10.5">
      <c r="J190" s="60"/>
      <c r="K190" s="12"/>
      <c r="L190" s="9" t="s">
        <v>148</v>
      </c>
      <c r="M190" s="9" t="s">
        <v>105</v>
      </c>
      <c r="N190" s="9" t="s">
        <v>148</v>
      </c>
      <c r="O190" s="9" t="s">
        <v>113</v>
      </c>
      <c r="P190" s="9" t="s">
        <v>117</v>
      </c>
    </row>
    <row r="191" spans="2:10" ht="10.5">
      <c r="B191" s="54" t="s">
        <v>320</v>
      </c>
      <c r="J191" s="60"/>
    </row>
    <row r="192" spans="1:16" s="12" customFormat="1" ht="10.5">
      <c r="A192" s="59">
        <v>1</v>
      </c>
      <c r="B192" s="12" t="s">
        <v>104</v>
      </c>
      <c r="I192" s="20"/>
      <c r="J192" s="91"/>
      <c r="O192" s="21"/>
      <c r="P192" s="21"/>
    </row>
    <row r="193" spans="1:16" s="12" customFormat="1" ht="10.5">
      <c r="A193" s="59"/>
      <c r="B193" s="12" t="s">
        <v>122</v>
      </c>
      <c r="I193" s="20"/>
      <c r="J193" s="91"/>
      <c r="O193" s="21"/>
      <c r="P193" s="21"/>
    </row>
    <row r="194" spans="1:16" s="12" customFormat="1" ht="10.5">
      <c r="A194" s="59"/>
      <c r="I194" s="20"/>
      <c r="J194" s="91"/>
      <c r="O194" s="21"/>
      <c r="P194" s="21"/>
    </row>
    <row r="195" spans="1:16" s="12" customFormat="1" ht="10.5">
      <c r="A195" s="59"/>
      <c r="B195" s="8" t="s">
        <v>70</v>
      </c>
      <c r="I195" s="20"/>
      <c r="J195" s="60"/>
      <c r="K195" s="21"/>
      <c r="L195" s="21"/>
      <c r="P195" s="21"/>
    </row>
    <row r="196" spans="2:17" ht="10.5">
      <c r="B196" s="12"/>
      <c r="C196" s="12"/>
      <c r="D196" s="12"/>
      <c r="E196" s="12"/>
      <c r="F196" s="12"/>
      <c r="G196" s="12"/>
      <c r="H196" s="12"/>
      <c r="I196" s="20"/>
      <c r="J196" s="60"/>
      <c r="K196" s="8" t="s">
        <v>284</v>
      </c>
      <c r="L196" s="8"/>
      <c r="M196" s="8"/>
      <c r="N196" s="8"/>
      <c r="O196" s="8"/>
      <c r="P196" s="8"/>
      <c r="Q196" s="8" t="s">
        <v>492</v>
      </c>
    </row>
    <row r="197" spans="3:10" ht="10.5">
      <c r="C197" s="8" t="s">
        <v>355</v>
      </c>
      <c r="I197" s="13" t="s">
        <v>493</v>
      </c>
      <c r="J197" s="60"/>
    </row>
    <row r="198" spans="1:16" s="12" customFormat="1" ht="10.5">
      <c r="A198" s="59"/>
      <c r="B198" s="9" t="s">
        <v>471</v>
      </c>
      <c r="C198" s="9" t="s">
        <v>110</v>
      </c>
      <c r="D198" s="9" t="s">
        <v>107</v>
      </c>
      <c r="E198" s="9" t="s">
        <v>153</v>
      </c>
      <c r="F198" s="9" t="s">
        <v>108</v>
      </c>
      <c r="G198" s="9" t="s">
        <v>109</v>
      </c>
      <c r="H198" s="9" t="s">
        <v>132</v>
      </c>
      <c r="I198" s="10" t="s">
        <v>27</v>
      </c>
      <c r="J198" s="60"/>
      <c r="K198" s="11" t="s">
        <v>151</v>
      </c>
      <c r="L198" s="84" t="s">
        <v>152</v>
      </c>
      <c r="M198" s="9" t="s">
        <v>609</v>
      </c>
      <c r="N198" s="9" t="s">
        <v>542</v>
      </c>
      <c r="O198" s="9" t="s">
        <v>486</v>
      </c>
      <c r="P198" s="9" t="s">
        <v>115</v>
      </c>
    </row>
    <row r="199" spans="1:16" s="12" customFormat="1" ht="10.5">
      <c r="A199" s="59"/>
      <c r="B199" s="9" t="s">
        <v>608</v>
      </c>
      <c r="I199" s="10" t="s">
        <v>83</v>
      </c>
      <c r="J199" s="60"/>
      <c r="K199" s="21"/>
      <c r="L199" s="22"/>
      <c r="P199" s="22"/>
    </row>
    <row r="200" spans="1:16" s="12" customFormat="1" ht="10.5">
      <c r="A200" s="59"/>
      <c r="B200" s="9" t="s">
        <v>469</v>
      </c>
      <c r="I200" s="10" t="s">
        <v>106</v>
      </c>
      <c r="J200" s="60"/>
      <c r="K200" s="21"/>
      <c r="L200" s="22"/>
      <c r="P200" s="22"/>
    </row>
    <row r="201" spans="1:16" s="12" customFormat="1" ht="10.5">
      <c r="A201" s="59"/>
      <c r="B201" s="9" t="s">
        <v>607</v>
      </c>
      <c r="I201" s="10" t="s">
        <v>128</v>
      </c>
      <c r="J201" s="60"/>
      <c r="K201" s="11">
        <v>98</v>
      </c>
      <c r="L201" s="22"/>
      <c r="P201" s="22"/>
    </row>
    <row r="202" spans="1:16" s="12" customFormat="1" ht="10.5">
      <c r="A202" s="59"/>
      <c r="B202" s="27" t="s">
        <v>472</v>
      </c>
      <c r="I202" s="10" t="s">
        <v>30</v>
      </c>
      <c r="J202" s="60"/>
      <c r="K202" s="21"/>
      <c r="L202" s="22"/>
      <c r="P202" s="22"/>
    </row>
    <row r="203" spans="1:16" s="12" customFormat="1" ht="10.5">
      <c r="A203" s="59"/>
      <c r="B203" s="9" t="s">
        <v>470</v>
      </c>
      <c r="C203" s="9" t="s">
        <v>154</v>
      </c>
      <c r="D203" s="92"/>
      <c r="E203" s="92"/>
      <c r="F203" s="92"/>
      <c r="G203" s="92"/>
      <c r="H203" s="92"/>
      <c r="I203" s="10" t="s">
        <v>28</v>
      </c>
      <c r="J203" s="60"/>
      <c r="K203" s="93"/>
      <c r="L203" s="93"/>
      <c r="M203" s="9" t="s">
        <v>64</v>
      </c>
      <c r="N203" s="9" t="s">
        <v>112</v>
      </c>
      <c r="O203" s="9" t="s">
        <v>64</v>
      </c>
      <c r="P203" s="9" t="s">
        <v>116</v>
      </c>
    </row>
    <row r="204" spans="1:16" s="12" customFormat="1" ht="10.5">
      <c r="A204" s="59"/>
      <c r="I204" s="10" t="s">
        <v>29</v>
      </c>
      <c r="J204" s="60"/>
      <c r="K204" s="21"/>
      <c r="L204" s="22"/>
      <c r="M204" s="9" t="s">
        <v>148</v>
      </c>
      <c r="N204" s="9" t="s">
        <v>113</v>
      </c>
      <c r="P204" s="9" t="s">
        <v>117</v>
      </c>
    </row>
    <row r="205" spans="1:16" s="12" customFormat="1" ht="10.5">
      <c r="A205" s="59"/>
      <c r="B205" s="54" t="s">
        <v>320</v>
      </c>
      <c r="I205" s="20"/>
      <c r="J205" s="60"/>
      <c r="K205" s="21"/>
      <c r="L205" s="22"/>
      <c r="P205" s="22"/>
    </row>
    <row r="206" spans="1:16" s="12" customFormat="1" ht="10.5">
      <c r="A206" s="59">
        <v>1</v>
      </c>
      <c r="B206" s="12" t="s">
        <v>68</v>
      </c>
      <c r="I206" s="20"/>
      <c r="J206" s="60">
        <v>3</v>
      </c>
      <c r="K206" s="21" t="s">
        <v>80</v>
      </c>
      <c r="L206" s="22"/>
      <c r="P206" s="22"/>
    </row>
    <row r="207" spans="1:16" s="12" customFormat="1" ht="10.5">
      <c r="A207" s="59"/>
      <c r="I207" s="20"/>
      <c r="J207" s="60"/>
      <c r="K207" s="21" t="s">
        <v>81</v>
      </c>
      <c r="L207" s="22"/>
      <c r="P207" s="22"/>
    </row>
    <row r="208" spans="1:16" s="12" customFormat="1" ht="10.5">
      <c r="A208" s="59">
        <v>2</v>
      </c>
      <c r="B208" s="12" t="s">
        <v>69</v>
      </c>
      <c r="I208" s="20"/>
      <c r="J208" s="60">
        <v>4</v>
      </c>
      <c r="K208" s="21" t="s">
        <v>82</v>
      </c>
      <c r="L208" s="22"/>
      <c r="P208" s="22"/>
    </row>
    <row r="209" spans="1:16" s="12" customFormat="1" ht="10.5">
      <c r="A209" s="59"/>
      <c r="I209" s="20"/>
      <c r="J209" s="60"/>
      <c r="K209" s="21"/>
      <c r="L209" s="22"/>
      <c r="P209" s="22"/>
    </row>
    <row r="210" spans="1:16" s="12" customFormat="1" ht="10.5">
      <c r="A210" s="59"/>
      <c r="B210" s="8" t="s">
        <v>163</v>
      </c>
      <c r="I210" s="20"/>
      <c r="J210" s="60"/>
      <c r="K210" s="21"/>
      <c r="L210" s="22"/>
      <c r="P210" s="22"/>
    </row>
    <row r="211" spans="2:17" ht="10.5">
      <c r="B211" s="12"/>
      <c r="C211" s="12"/>
      <c r="D211" s="12"/>
      <c r="E211" s="12"/>
      <c r="F211" s="12"/>
      <c r="G211" s="12"/>
      <c r="H211" s="12"/>
      <c r="I211" s="20"/>
      <c r="J211" s="60"/>
      <c r="K211" s="8" t="s">
        <v>284</v>
      </c>
      <c r="L211" s="8"/>
      <c r="M211" s="8"/>
      <c r="O211" s="8"/>
      <c r="P211" s="8"/>
      <c r="Q211" s="8" t="s">
        <v>492</v>
      </c>
    </row>
    <row r="212" spans="3:10" ht="10.5">
      <c r="C212" s="8" t="s">
        <v>355</v>
      </c>
      <c r="D212" s="9" t="s">
        <v>98</v>
      </c>
      <c r="H212" s="9" t="s">
        <v>390</v>
      </c>
      <c r="I212" s="13" t="s">
        <v>493</v>
      </c>
      <c r="J212" s="60"/>
    </row>
    <row r="213" spans="1:16" s="12" customFormat="1" ht="10.5">
      <c r="A213" s="59"/>
      <c r="B213" s="9" t="s">
        <v>471</v>
      </c>
      <c r="C213" s="9" t="s">
        <v>60</v>
      </c>
      <c r="D213" s="9" t="s">
        <v>87</v>
      </c>
      <c r="E213" s="9" t="s">
        <v>473</v>
      </c>
      <c r="F213" s="9" t="s">
        <v>62</v>
      </c>
      <c r="G213" s="9" t="s">
        <v>390</v>
      </c>
      <c r="H213" s="9" t="s">
        <v>99</v>
      </c>
      <c r="I213" s="10" t="s">
        <v>55</v>
      </c>
      <c r="J213" s="60"/>
      <c r="K213" s="11" t="s">
        <v>61</v>
      </c>
      <c r="L213" s="84" t="s">
        <v>486</v>
      </c>
      <c r="M213" s="9" t="s">
        <v>542</v>
      </c>
      <c r="P213" s="22"/>
    </row>
    <row r="214" spans="1:16" s="12" customFormat="1" ht="10.5">
      <c r="A214" s="59"/>
      <c r="B214" s="9" t="s">
        <v>608</v>
      </c>
      <c r="I214" s="10" t="s">
        <v>59</v>
      </c>
      <c r="J214" s="60"/>
      <c r="K214" s="21"/>
      <c r="L214" s="22"/>
      <c r="P214" s="22"/>
    </row>
    <row r="215" spans="1:16" s="12" customFormat="1" ht="10.5">
      <c r="A215" s="59"/>
      <c r="B215" s="9" t="s">
        <v>469</v>
      </c>
      <c r="I215" s="10" t="s">
        <v>57</v>
      </c>
      <c r="J215" s="60"/>
      <c r="K215" s="21"/>
      <c r="L215" s="22"/>
      <c r="P215" s="22"/>
    </row>
    <row r="216" spans="1:16" s="12" customFormat="1" ht="10.5">
      <c r="A216" s="59"/>
      <c r="B216" s="9" t="s">
        <v>607</v>
      </c>
      <c r="H216" s="9"/>
      <c r="I216" s="10" t="s">
        <v>56</v>
      </c>
      <c r="J216" s="60"/>
      <c r="K216" s="11">
        <v>90</v>
      </c>
      <c r="L216" s="22"/>
      <c r="P216" s="22"/>
    </row>
    <row r="217" spans="1:16" s="12" customFormat="1" ht="10.5">
      <c r="A217" s="59"/>
      <c r="B217" s="27" t="s">
        <v>472</v>
      </c>
      <c r="H217" s="9"/>
      <c r="I217" s="10" t="s">
        <v>58</v>
      </c>
      <c r="J217" s="60"/>
      <c r="K217" s="21"/>
      <c r="L217" s="22"/>
      <c r="P217" s="22"/>
    </row>
    <row r="218" spans="1:16" s="12" customFormat="1" ht="10.5">
      <c r="A218" s="59"/>
      <c r="B218" s="9" t="s">
        <v>470</v>
      </c>
      <c r="C218" s="92"/>
      <c r="D218" s="92"/>
      <c r="E218" s="92"/>
      <c r="F218" s="9" t="s">
        <v>64</v>
      </c>
      <c r="G218" s="9" t="s">
        <v>64</v>
      </c>
      <c r="H218" s="17"/>
      <c r="I218" s="20"/>
      <c r="J218" s="60"/>
      <c r="K218" s="93"/>
      <c r="L218" s="84" t="s">
        <v>86</v>
      </c>
      <c r="M218" s="9" t="s">
        <v>86</v>
      </c>
      <c r="P218" s="22"/>
    </row>
    <row r="219" spans="1:16" s="12" customFormat="1" ht="10.5">
      <c r="A219" s="59"/>
      <c r="F219" s="9" t="s">
        <v>63</v>
      </c>
      <c r="G219" s="9" t="s">
        <v>63</v>
      </c>
      <c r="H219" s="9"/>
      <c r="I219" s="20"/>
      <c r="J219" s="60"/>
      <c r="K219" s="21"/>
      <c r="L219" s="22"/>
      <c r="P219" s="22"/>
    </row>
    <row r="220" spans="1:16" s="12" customFormat="1" ht="10.5">
      <c r="A220" s="59"/>
      <c r="B220" s="54" t="s">
        <v>320</v>
      </c>
      <c r="I220" s="20"/>
      <c r="J220" s="60"/>
      <c r="K220" s="21"/>
      <c r="L220" s="22"/>
      <c r="P220" s="22"/>
    </row>
    <row r="221" spans="1:16" s="12" customFormat="1" ht="10.5">
      <c r="A221" s="59">
        <v>1</v>
      </c>
      <c r="B221" s="12" t="s">
        <v>52</v>
      </c>
      <c r="I221" s="20"/>
      <c r="J221" s="60">
        <v>3</v>
      </c>
      <c r="K221" s="21"/>
      <c r="L221" s="22"/>
      <c r="P221" s="22"/>
    </row>
    <row r="222" spans="1:16" s="12" customFormat="1" ht="10.5">
      <c r="A222" s="59"/>
      <c r="B222" s="12" t="s">
        <v>53</v>
      </c>
      <c r="I222" s="20"/>
      <c r="J222" s="60"/>
      <c r="K222" s="21"/>
      <c r="L222" s="22"/>
      <c r="P222" s="22"/>
    </row>
    <row r="223" spans="1:16" s="12" customFormat="1" ht="10.5">
      <c r="A223" s="59"/>
      <c r="B223" s="12" t="s">
        <v>54</v>
      </c>
      <c r="I223" s="20"/>
      <c r="J223" s="60"/>
      <c r="K223" s="21"/>
      <c r="L223" s="22"/>
      <c r="P223" s="22"/>
    </row>
    <row r="224" spans="1:16" s="12" customFormat="1" ht="10.5">
      <c r="A224" s="59">
        <v>2</v>
      </c>
      <c r="I224" s="20"/>
      <c r="J224" s="60">
        <v>4</v>
      </c>
      <c r="K224" s="21" t="s">
        <v>94</v>
      </c>
      <c r="L224" s="22"/>
      <c r="P224" s="22"/>
    </row>
    <row r="225" spans="1:16" s="12" customFormat="1" ht="10.5">
      <c r="A225" s="59"/>
      <c r="I225" s="20"/>
      <c r="J225" s="60"/>
      <c r="K225" s="21" t="s">
        <v>95</v>
      </c>
      <c r="L225" s="22"/>
      <c r="P225" s="22"/>
    </row>
    <row r="226" spans="1:16" s="12" customFormat="1" ht="10.5">
      <c r="A226" s="59"/>
      <c r="B226" s="8" t="s">
        <v>90</v>
      </c>
      <c r="I226" s="20"/>
      <c r="J226" s="60"/>
      <c r="K226" s="21"/>
      <c r="L226" s="22"/>
      <c r="P226" s="22"/>
    </row>
    <row r="227" spans="2:17" ht="10.5">
      <c r="B227" s="12"/>
      <c r="C227" s="12"/>
      <c r="D227" s="12"/>
      <c r="E227" s="12"/>
      <c r="F227" s="12"/>
      <c r="G227" s="12"/>
      <c r="H227" s="12"/>
      <c r="I227" s="20"/>
      <c r="J227" s="60"/>
      <c r="K227" s="8" t="s">
        <v>284</v>
      </c>
      <c r="L227" s="8"/>
      <c r="M227" s="8"/>
      <c r="N227" s="8"/>
      <c r="O227" s="8"/>
      <c r="P227" s="8"/>
      <c r="Q227" s="8" t="s">
        <v>492</v>
      </c>
    </row>
    <row r="228" spans="3:14" ht="10.5">
      <c r="C228" s="8" t="s">
        <v>355</v>
      </c>
      <c r="E228" s="9" t="s">
        <v>92</v>
      </c>
      <c r="I228" s="13" t="s">
        <v>493</v>
      </c>
      <c r="J228" s="60"/>
      <c r="N228" s="9" t="s">
        <v>96</v>
      </c>
    </row>
    <row r="229" spans="1:16" s="12" customFormat="1" ht="10.5">
      <c r="A229" s="59"/>
      <c r="B229" s="9" t="s">
        <v>471</v>
      </c>
      <c r="C229" s="9" t="s">
        <v>65</v>
      </c>
      <c r="D229" s="9" t="s">
        <v>473</v>
      </c>
      <c r="E229" s="9" t="s">
        <v>93</v>
      </c>
      <c r="F229" s="9"/>
      <c r="G229" s="9"/>
      <c r="I229" s="10" t="s">
        <v>66</v>
      </c>
      <c r="J229" s="60"/>
      <c r="K229" s="9" t="s">
        <v>100</v>
      </c>
      <c r="L229" s="9" t="s">
        <v>418</v>
      </c>
      <c r="M229" s="9" t="s">
        <v>598</v>
      </c>
      <c r="N229" s="9" t="s">
        <v>97</v>
      </c>
      <c r="O229" s="9"/>
      <c r="P229" s="22"/>
    </row>
    <row r="230" spans="1:16" s="12" customFormat="1" ht="10.5">
      <c r="A230" s="59"/>
      <c r="B230" s="9" t="s">
        <v>608</v>
      </c>
      <c r="I230" s="10" t="s">
        <v>67</v>
      </c>
      <c r="J230" s="60"/>
      <c r="K230" s="21"/>
      <c r="L230" s="22"/>
      <c r="P230" s="22"/>
    </row>
    <row r="231" spans="1:16" s="12" customFormat="1" ht="10.5">
      <c r="A231" s="59"/>
      <c r="B231" s="9" t="s">
        <v>469</v>
      </c>
      <c r="I231" s="10"/>
      <c r="J231" s="60"/>
      <c r="K231" s="21"/>
      <c r="L231" s="22"/>
      <c r="P231" s="22"/>
    </row>
    <row r="232" spans="1:16" s="12" customFormat="1" ht="10.5">
      <c r="A232" s="59"/>
      <c r="B232" s="9" t="s">
        <v>607</v>
      </c>
      <c r="G232" s="9"/>
      <c r="I232" s="10"/>
      <c r="J232" s="60"/>
      <c r="K232" s="21"/>
      <c r="L232" s="22"/>
      <c r="P232" s="22"/>
    </row>
    <row r="233" spans="1:16" s="12" customFormat="1" ht="10.5">
      <c r="A233" s="59"/>
      <c r="B233" s="27" t="s">
        <v>472</v>
      </c>
      <c r="G233" s="9"/>
      <c r="I233" s="10"/>
      <c r="J233" s="60"/>
      <c r="K233" s="21"/>
      <c r="L233" s="22"/>
      <c r="P233" s="22"/>
    </row>
    <row r="234" spans="1:16" s="12" customFormat="1" ht="10.5">
      <c r="A234" s="59"/>
      <c r="B234" s="9" t="s">
        <v>470</v>
      </c>
      <c r="C234" s="92"/>
      <c r="D234" s="92"/>
      <c r="E234" s="11" t="s">
        <v>64</v>
      </c>
      <c r="F234" s="9"/>
      <c r="G234" s="11"/>
      <c r="I234" s="20"/>
      <c r="J234" s="60"/>
      <c r="K234" s="93"/>
      <c r="L234" s="87"/>
      <c r="M234" s="87"/>
      <c r="N234" s="93"/>
      <c r="O234" s="9"/>
      <c r="P234" s="22"/>
    </row>
    <row r="235" spans="1:16" s="12" customFormat="1" ht="10.5">
      <c r="A235" s="59"/>
      <c r="E235" s="9"/>
      <c r="F235" s="9"/>
      <c r="G235" s="9"/>
      <c r="I235" s="20"/>
      <c r="J235" s="60"/>
      <c r="K235" s="21"/>
      <c r="L235" s="22"/>
      <c r="P235" s="22"/>
    </row>
    <row r="236" spans="1:16" s="12" customFormat="1" ht="10.5">
      <c r="A236" s="59"/>
      <c r="B236" s="54" t="s">
        <v>320</v>
      </c>
      <c r="I236" s="20"/>
      <c r="J236" s="60">
        <v>3</v>
      </c>
      <c r="K236" s="21"/>
      <c r="L236" s="22"/>
      <c r="P236" s="22"/>
    </row>
    <row r="237" spans="1:16" s="12" customFormat="1" ht="10.5">
      <c r="A237" s="59">
        <v>1</v>
      </c>
      <c r="I237" s="20"/>
      <c r="J237" s="60"/>
      <c r="K237" s="21"/>
      <c r="L237" s="22"/>
      <c r="P237" s="22"/>
    </row>
    <row r="238" spans="1:16" s="12" customFormat="1" ht="10.5">
      <c r="A238" s="59"/>
      <c r="I238" s="20"/>
      <c r="J238" s="60">
        <v>4</v>
      </c>
      <c r="K238" s="21" t="s">
        <v>91</v>
      </c>
      <c r="L238" s="22"/>
      <c r="P238" s="22"/>
    </row>
    <row r="239" spans="1:16" s="12" customFormat="1" ht="10.5">
      <c r="A239" s="59">
        <v>2</v>
      </c>
      <c r="I239" s="20"/>
      <c r="J239" s="60"/>
      <c r="K239" s="21"/>
      <c r="L239" s="22"/>
      <c r="P239" s="22"/>
    </row>
    <row r="240" spans="1:10" ht="10.5">
      <c r="A240" s="59" t="s">
        <v>625</v>
      </c>
      <c r="B240" s="8" t="s">
        <v>391</v>
      </c>
      <c r="D240" s="12" t="s">
        <v>603</v>
      </c>
      <c r="J240" s="60"/>
    </row>
    <row r="241" spans="1:17" s="8" customFormat="1" ht="10.5">
      <c r="A241" s="59"/>
      <c r="C241" s="8" t="s">
        <v>355</v>
      </c>
      <c r="I241" s="13" t="s">
        <v>493</v>
      </c>
      <c r="J241" s="60"/>
      <c r="K241" s="8" t="s">
        <v>284</v>
      </c>
      <c r="Q241" s="8" t="s">
        <v>492</v>
      </c>
    </row>
    <row r="242" spans="2:13" ht="10.5">
      <c r="B242" s="9" t="s">
        <v>471</v>
      </c>
      <c r="C242" s="9" t="s">
        <v>512</v>
      </c>
      <c r="D242" s="9" t="s">
        <v>513</v>
      </c>
      <c r="E242" s="9" t="s">
        <v>595</v>
      </c>
      <c r="F242" s="9" t="s">
        <v>502</v>
      </c>
      <c r="G242" s="9" t="s">
        <v>473</v>
      </c>
      <c r="H242" s="9" t="s">
        <v>390</v>
      </c>
      <c r="I242" s="10" t="s">
        <v>580</v>
      </c>
      <c r="J242" s="60"/>
      <c r="K242" s="9" t="s">
        <v>514</v>
      </c>
      <c r="L242" s="9" t="s">
        <v>231</v>
      </c>
      <c r="M242" s="9" t="s">
        <v>323</v>
      </c>
    </row>
    <row r="243" spans="2:11" ht="10.5">
      <c r="B243" s="9" t="s">
        <v>608</v>
      </c>
      <c r="C243" s="9">
        <v>80</v>
      </c>
      <c r="D243" s="9">
        <v>32</v>
      </c>
      <c r="E243" s="9">
        <v>44</v>
      </c>
      <c r="I243" s="10" t="s">
        <v>579</v>
      </c>
      <c r="J243" s="60"/>
      <c r="K243" s="9">
        <v>192</v>
      </c>
    </row>
    <row r="244" spans="2:17" ht="10.5">
      <c r="B244" s="9" t="s">
        <v>469</v>
      </c>
      <c r="C244" s="14">
        <v>200</v>
      </c>
      <c r="D244" s="14">
        <f>C244*D243/C243</f>
        <v>80</v>
      </c>
      <c r="E244" s="14">
        <f>C244*E243/C243</f>
        <v>110</v>
      </c>
      <c r="F244" s="14">
        <f>C244*2</f>
        <v>400</v>
      </c>
      <c r="G244" s="14">
        <v>70</v>
      </c>
      <c r="I244" s="10" t="s">
        <v>581</v>
      </c>
      <c r="J244" s="60"/>
      <c r="K244" s="14">
        <f>C244*K243/C243</f>
        <v>480</v>
      </c>
      <c r="L244" s="14"/>
      <c r="M244" s="14">
        <f>F244</f>
        <v>400</v>
      </c>
      <c r="Q244" s="12" t="s">
        <v>482</v>
      </c>
    </row>
    <row r="245" spans="2:17" ht="10.5">
      <c r="B245" s="9" t="s">
        <v>607</v>
      </c>
      <c r="F245" s="9">
        <v>95</v>
      </c>
      <c r="I245" s="10" t="s">
        <v>549</v>
      </c>
      <c r="J245" s="60"/>
      <c r="K245" s="9">
        <v>99</v>
      </c>
      <c r="M245" s="9">
        <v>50</v>
      </c>
      <c r="Q245" s="12" t="s">
        <v>196</v>
      </c>
    </row>
    <row r="246" spans="1:17" s="27" customFormat="1" ht="10.5">
      <c r="A246" s="59"/>
      <c r="B246" s="27" t="s">
        <v>472</v>
      </c>
      <c r="C246" s="77">
        <v>0.38</v>
      </c>
      <c r="D246" s="27">
        <v>0.07</v>
      </c>
      <c r="E246" s="27">
        <v>-0.036</v>
      </c>
      <c r="F246" s="27">
        <v>0.005</v>
      </c>
      <c r="G246" s="27">
        <v>0.1</v>
      </c>
      <c r="I246" s="65"/>
      <c r="J246" s="66"/>
      <c r="K246" s="77">
        <f>G98</f>
        <v>0.58</v>
      </c>
      <c r="L246" s="67"/>
      <c r="M246" s="27">
        <v>0.005</v>
      </c>
      <c r="N246" s="67"/>
      <c r="Q246" s="67" t="s">
        <v>382</v>
      </c>
    </row>
    <row r="247" spans="2:14" ht="10.5">
      <c r="B247" s="9" t="s">
        <v>470</v>
      </c>
      <c r="C247" s="23">
        <f>C244*C246</f>
        <v>76</v>
      </c>
      <c r="D247" s="16">
        <f>D244*D246</f>
        <v>5.6000000000000005</v>
      </c>
      <c r="E247" s="16">
        <f>E244*E246</f>
        <v>-3.9599999999999995</v>
      </c>
      <c r="F247" s="16">
        <f>F244*(F245/100)*F246</f>
        <v>1.9000000000000001</v>
      </c>
      <c r="G247" s="17">
        <f>G244*G246</f>
        <v>7</v>
      </c>
      <c r="H247" s="9">
        <v>0</v>
      </c>
      <c r="J247" s="60"/>
      <c r="K247" s="18">
        <f>K244*K245/100*K246</f>
        <v>275.616</v>
      </c>
      <c r="M247" s="18">
        <f>M244*(M245/100)*M246</f>
        <v>1</v>
      </c>
      <c r="N247" s="12"/>
    </row>
    <row r="248" spans="1:13" s="12" customFormat="1" ht="10.5">
      <c r="A248" s="59"/>
      <c r="D248" s="12" t="s">
        <v>233</v>
      </c>
      <c r="F248" s="12" t="s">
        <v>401</v>
      </c>
      <c r="H248" s="12" t="s">
        <v>232</v>
      </c>
      <c r="I248" s="20"/>
      <c r="J248" s="60"/>
      <c r="M248" s="12" t="s">
        <v>141</v>
      </c>
    </row>
    <row r="249" spans="2:10" ht="10.5">
      <c r="B249" s="54" t="s">
        <v>320</v>
      </c>
      <c r="C249" s="12" t="s">
        <v>234</v>
      </c>
      <c r="J249" s="60"/>
    </row>
    <row r="250" spans="1:16" ht="10.5">
      <c r="A250" s="59">
        <v>1</v>
      </c>
      <c r="B250" s="12" t="s">
        <v>557</v>
      </c>
      <c r="C250" s="12"/>
      <c r="D250" s="12"/>
      <c r="E250" s="12"/>
      <c r="F250" s="12"/>
      <c r="G250" s="12"/>
      <c r="H250" s="12"/>
      <c r="I250" s="20"/>
      <c r="J250" s="59">
        <v>5</v>
      </c>
      <c r="K250" s="12" t="s">
        <v>424</v>
      </c>
      <c r="L250" s="12"/>
      <c r="M250" s="12"/>
      <c r="N250" s="12"/>
      <c r="O250" s="12"/>
      <c r="P250" s="12"/>
    </row>
    <row r="251" spans="2:16" ht="10.5">
      <c r="B251" s="12" t="s">
        <v>313</v>
      </c>
      <c r="C251" s="12"/>
      <c r="D251" s="12"/>
      <c r="E251" s="12"/>
      <c r="F251" s="12"/>
      <c r="G251" s="12"/>
      <c r="H251" s="12"/>
      <c r="I251" s="20"/>
      <c r="J251" s="59"/>
      <c r="K251" s="12" t="s">
        <v>235</v>
      </c>
      <c r="L251" s="12"/>
      <c r="M251" s="12"/>
      <c r="N251" s="12"/>
      <c r="O251" s="12"/>
      <c r="P251" s="12"/>
    </row>
    <row r="252" spans="2:16" ht="10.5">
      <c r="B252" s="12" t="s">
        <v>314</v>
      </c>
      <c r="C252" s="12"/>
      <c r="D252" s="12"/>
      <c r="E252" s="12"/>
      <c r="F252" s="12"/>
      <c r="G252" s="12"/>
      <c r="H252" s="12"/>
      <c r="I252" s="20"/>
      <c r="J252" s="59"/>
      <c r="K252" s="12" t="s">
        <v>571</v>
      </c>
      <c r="L252" s="12"/>
      <c r="M252" s="12"/>
      <c r="N252" s="12"/>
      <c r="O252" s="12"/>
      <c r="P252" s="12"/>
    </row>
    <row r="253" spans="2:16" ht="10.5">
      <c r="B253" s="12" t="s">
        <v>561</v>
      </c>
      <c r="C253" s="12"/>
      <c r="D253" s="12"/>
      <c r="E253" s="12"/>
      <c r="F253" s="12"/>
      <c r="G253" s="12"/>
      <c r="H253" s="12"/>
      <c r="I253" s="20"/>
      <c r="J253" s="59"/>
      <c r="K253" s="12" t="s">
        <v>236</v>
      </c>
      <c r="L253" s="12"/>
      <c r="M253" s="12"/>
      <c r="N253" s="12"/>
      <c r="O253" s="12"/>
      <c r="P253" s="12"/>
    </row>
    <row r="254" spans="1:16" ht="10.5">
      <c r="A254" s="59">
        <v>2</v>
      </c>
      <c r="B254" s="12" t="s">
        <v>558</v>
      </c>
      <c r="C254" s="12"/>
      <c r="D254" s="12"/>
      <c r="E254" s="12"/>
      <c r="F254" s="12"/>
      <c r="G254" s="12"/>
      <c r="H254" s="12"/>
      <c r="I254" s="20"/>
      <c r="K254" s="12"/>
      <c r="L254" s="12"/>
      <c r="M254" s="12"/>
      <c r="N254" s="12"/>
      <c r="O254" s="12"/>
      <c r="P254" s="12"/>
    </row>
    <row r="255" spans="2:16" ht="10.5">
      <c r="B255" s="12" t="s">
        <v>559</v>
      </c>
      <c r="C255" s="12"/>
      <c r="D255" s="12"/>
      <c r="E255" s="12"/>
      <c r="F255" s="12"/>
      <c r="G255" s="12"/>
      <c r="H255" s="12"/>
      <c r="I255" s="20"/>
      <c r="J255" s="60">
        <v>6</v>
      </c>
      <c r="K255" s="12" t="s">
        <v>226</v>
      </c>
      <c r="L255" s="12"/>
      <c r="M255" s="12"/>
      <c r="N255" s="12"/>
      <c r="O255" s="12"/>
      <c r="P255" s="12"/>
    </row>
    <row r="256" spans="2:16" ht="10.5">
      <c r="B256" s="12" t="s">
        <v>560</v>
      </c>
      <c r="C256" s="12"/>
      <c r="D256" s="12"/>
      <c r="E256" s="12"/>
      <c r="F256" s="12"/>
      <c r="G256" s="12"/>
      <c r="H256" s="12"/>
      <c r="I256" s="20"/>
      <c r="J256" s="60"/>
      <c r="K256" s="12" t="s">
        <v>176</v>
      </c>
      <c r="L256" s="12"/>
      <c r="M256" s="12"/>
      <c r="N256" s="12"/>
      <c r="O256" s="12"/>
      <c r="P256" s="12"/>
    </row>
    <row r="257" spans="2:16" ht="10.5">
      <c r="B257" s="12" t="s">
        <v>282</v>
      </c>
      <c r="C257" s="12"/>
      <c r="D257" s="12"/>
      <c r="E257" s="12"/>
      <c r="F257" s="12"/>
      <c r="G257" s="12"/>
      <c r="H257" s="12"/>
      <c r="I257" s="20"/>
      <c r="J257" s="60"/>
      <c r="K257" s="12" t="s">
        <v>593</v>
      </c>
      <c r="L257" s="12"/>
      <c r="M257" s="12"/>
      <c r="N257" s="12"/>
      <c r="O257" s="12"/>
      <c r="P257" s="12"/>
    </row>
    <row r="258" spans="2:16" ht="10.5">
      <c r="B258" s="12" t="s">
        <v>184</v>
      </c>
      <c r="C258" s="12"/>
      <c r="D258" s="12"/>
      <c r="E258" s="12"/>
      <c r="F258" s="12"/>
      <c r="G258" s="12"/>
      <c r="H258" s="12"/>
      <c r="I258" s="20"/>
      <c r="K258" s="12" t="s">
        <v>273</v>
      </c>
      <c r="L258" s="12"/>
      <c r="M258" s="12"/>
      <c r="N258" s="12"/>
      <c r="O258" s="12"/>
      <c r="P258" s="12"/>
    </row>
    <row r="259" spans="3:16" ht="10.5">
      <c r="C259" s="12"/>
      <c r="D259" s="12"/>
      <c r="E259" s="12"/>
      <c r="F259" s="12"/>
      <c r="G259" s="12"/>
      <c r="H259" s="12"/>
      <c r="I259" s="20"/>
      <c r="J259" s="60">
        <v>7</v>
      </c>
      <c r="K259" s="12" t="s">
        <v>197</v>
      </c>
      <c r="L259" s="12"/>
      <c r="M259" s="12"/>
      <c r="N259" s="12"/>
      <c r="O259" s="12"/>
      <c r="P259" s="12"/>
    </row>
    <row r="260" spans="1:16" ht="10.5">
      <c r="A260" s="59">
        <v>3</v>
      </c>
      <c r="B260" s="22" t="s">
        <v>463</v>
      </c>
      <c r="C260" s="12"/>
      <c r="D260" s="12"/>
      <c r="E260" s="12"/>
      <c r="F260" s="12"/>
      <c r="G260" s="12"/>
      <c r="H260" s="12"/>
      <c r="I260" s="20"/>
      <c r="J260" s="60"/>
      <c r="K260" s="12" t="s">
        <v>190</v>
      </c>
      <c r="L260" s="12"/>
      <c r="M260" s="12"/>
      <c r="N260" s="12"/>
      <c r="O260" s="12"/>
      <c r="P260" s="12"/>
    </row>
    <row r="261" spans="1:17" ht="10.5">
      <c r="A261" s="60">
        <v>4</v>
      </c>
      <c r="B261" s="12" t="s">
        <v>563</v>
      </c>
      <c r="C261" s="12"/>
      <c r="D261" s="12"/>
      <c r="E261" s="12"/>
      <c r="F261" s="12"/>
      <c r="G261" s="12"/>
      <c r="H261" s="12"/>
      <c r="I261" s="20"/>
      <c r="J261" s="60"/>
      <c r="K261" s="12" t="s">
        <v>191</v>
      </c>
      <c r="L261" s="12"/>
      <c r="M261" s="12"/>
      <c r="N261" s="12"/>
      <c r="O261" s="12"/>
      <c r="P261" s="12"/>
      <c r="Q261" s="22"/>
    </row>
    <row r="262" spans="1:17" ht="10.5">
      <c r="A262" s="60"/>
      <c r="B262" s="12" t="s">
        <v>352</v>
      </c>
      <c r="C262" s="12"/>
      <c r="D262" s="12"/>
      <c r="E262" s="12"/>
      <c r="F262" s="12"/>
      <c r="G262" s="12"/>
      <c r="H262" s="12"/>
      <c r="I262" s="20"/>
      <c r="J262" s="60"/>
      <c r="K262" s="12" t="s">
        <v>192</v>
      </c>
      <c r="L262" s="12"/>
      <c r="M262" s="12"/>
      <c r="N262" s="12"/>
      <c r="O262" s="21"/>
      <c r="P262" s="12"/>
      <c r="Q262" s="21"/>
    </row>
    <row r="263" spans="1:16" ht="10.5">
      <c r="A263" s="60"/>
      <c r="B263" s="12" t="s">
        <v>351</v>
      </c>
      <c r="C263" s="12"/>
      <c r="D263" s="12"/>
      <c r="E263" s="12"/>
      <c r="F263" s="12"/>
      <c r="G263" s="12"/>
      <c r="H263" s="12"/>
      <c r="I263" s="20"/>
      <c r="K263" s="12" t="s">
        <v>140</v>
      </c>
      <c r="L263" s="12"/>
      <c r="M263" s="12"/>
      <c r="N263" s="12"/>
      <c r="O263" s="12"/>
      <c r="P263" s="12"/>
    </row>
    <row r="264" spans="1:16" ht="10.5">
      <c r="A264" s="60"/>
      <c r="B264" s="22" t="s">
        <v>177</v>
      </c>
      <c r="C264" s="12"/>
      <c r="D264" s="12"/>
      <c r="E264" s="12"/>
      <c r="F264" s="12"/>
      <c r="G264" s="12"/>
      <c r="H264" s="12"/>
      <c r="I264" s="20"/>
      <c r="J264" s="60">
        <v>8</v>
      </c>
      <c r="K264" s="12" t="s">
        <v>534</v>
      </c>
      <c r="L264" s="12"/>
      <c r="M264" s="12"/>
      <c r="N264" s="12"/>
      <c r="O264" s="12"/>
      <c r="P264" s="12"/>
    </row>
    <row r="265" spans="1:16" ht="10.5">
      <c r="A265" s="60"/>
      <c r="B265" s="12" t="s">
        <v>237</v>
      </c>
      <c r="C265" s="12"/>
      <c r="D265" s="12"/>
      <c r="E265" s="12"/>
      <c r="F265" s="12"/>
      <c r="G265" s="12"/>
      <c r="H265" s="12"/>
      <c r="I265" s="20"/>
      <c r="J265" s="60"/>
      <c r="K265" s="22" t="s">
        <v>604</v>
      </c>
      <c r="L265" s="82"/>
      <c r="M265" s="82"/>
      <c r="N265" s="12"/>
      <c r="O265" s="12"/>
      <c r="P265" s="12"/>
    </row>
    <row r="266" spans="1:16" ht="10.5" customHeight="1">
      <c r="A266" s="55"/>
      <c r="B266" s="12" t="s">
        <v>550</v>
      </c>
      <c r="C266" s="12"/>
      <c r="D266" s="12"/>
      <c r="E266" s="12"/>
      <c r="F266" s="12"/>
      <c r="G266" s="12"/>
      <c r="H266" s="12"/>
      <c r="I266" s="20"/>
      <c r="J266" s="60"/>
      <c r="K266" s="12" t="s">
        <v>465</v>
      </c>
      <c r="N266" s="12"/>
      <c r="O266" s="22"/>
      <c r="P266" s="12"/>
    </row>
    <row r="267" spans="2:16" ht="10.5" customHeight="1">
      <c r="B267" s="12" t="s">
        <v>103</v>
      </c>
      <c r="C267" s="12"/>
      <c r="D267" s="12"/>
      <c r="E267" s="12"/>
      <c r="F267" s="12"/>
      <c r="G267" s="12"/>
      <c r="H267" s="12"/>
      <c r="I267" s="20"/>
      <c r="J267" s="9"/>
      <c r="N267" s="12"/>
      <c r="O267" s="12"/>
      <c r="P267" s="12"/>
    </row>
    <row r="268" spans="2:16" ht="10.5" customHeight="1">
      <c r="B268" s="12"/>
      <c r="C268" s="12"/>
      <c r="D268" s="12"/>
      <c r="E268" s="12"/>
      <c r="F268" s="12"/>
      <c r="G268" s="12"/>
      <c r="H268" s="12"/>
      <c r="I268" s="20"/>
      <c r="J268" s="9"/>
      <c r="N268" s="12"/>
      <c r="O268" s="12"/>
      <c r="P268" s="12"/>
    </row>
    <row r="269" spans="2:16" ht="10.5" customHeight="1">
      <c r="B269" s="12"/>
      <c r="C269" s="12"/>
      <c r="D269" s="12"/>
      <c r="E269" s="12"/>
      <c r="F269" s="12"/>
      <c r="G269" s="12"/>
      <c r="H269" s="12"/>
      <c r="I269" s="20"/>
      <c r="J269" s="9"/>
      <c r="N269" s="12"/>
      <c r="O269" s="12"/>
      <c r="P269" s="12"/>
    </row>
    <row r="270" spans="2:16" ht="10.5" customHeight="1">
      <c r="B270" s="12"/>
      <c r="C270" s="12"/>
      <c r="D270" s="12"/>
      <c r="E270" s="12"/>
      <c r="F270" s="12"/>
      <c r="G270" s="12"/>
      <c r="H270" s="12"/>
      <c r="I270" s="20"/>
      <c r="J270" s="9"/>
      <c r="N270" s="12"/>
      <c r="O270" s="12"/>
      <c r="P270" s="12"/>
    </row>
    <row r="271" spans="2:16" ht="10.5" customHeight="1">
      <c r="B271" s="53" t="s">
        <v>588</v>
      </c>
      <c r="C271" s="12"/>
      <c r="D271" s="12"/>
      <c r="E271" s="12"/>
      <c r="F271" s="12"/>
      <c r="G271" s="12"/>
      <c r="H271" s="12"/>
      <c r="I271" s="20"/>
      <c r="J271" s="74">
        <v>9</v>
      </c>
      <c r="K271" s="12" t="s">
        <v>515</v>
      </c>
      <c r="N271" s="12"/>
      <c r="O271" s="12"/>
      <c r="P271" s="12"/>
    </row>
    <row r="272" spans="1:17" s="8" customFormat="1" ht="10.5" customHeight="1">
      <c r="A272" s="59"/>
      <c r="B272" s="8" t="s">
        <v>338</v>
      </c>
      <c r="C272" s="8" t="s">
        <v>336</v>
      </c>
      <c r="D272" s="8" t="s">
        <v>337</v>
      </c>
      <c r="E272" s="8" t="s">
        <v>366</v>
      </c>
      <c r="G272" s="8" t="s">
        <v>405</v>
      </c>
      <c r="H272" s="24" t="s">
        <v>265</v>
      </c>
      <c r="I272" s="13"/>
      <c r="J272" s="60"/>
      <c r="K272" s="8" t="s">
        <v>339</v>
      </c>
      <c r="L272" s="8" t="s">
        <v>336</v>
      </c>
      <c r="M272" s="8" t="s">
        <v>337</v>
      </c>
      <c r="N272" s="8" t="s">
        <v>366</v>
      </c>
      <c r="O272" s="8" t="s">
        <v>266</v>
      </c>
      <c r="P272" s="25" t="s">
        <v>265</v>
      </c>
      <c r="Q272" s="25"/>
    </row>
    <row r="273" spans="1:17" ht="10.5" customHeight="1">
      <c r="A273" s="59" t="s">
        <v>321</v>
      </c>
      <c r="B273" s="12"/>
      <c r="C273" s="12"/>
      <c r="D273" s="12"/>
      <c r="E273" s="12"/>
      <c r="F273" s="12"/>
      <c r="G273" s="12"/>
      <c r="H273" s="12"/>
      <c r="I273" s="20"/>
      <c r="J273" s="9"/>
      <c r="K273" s="14" t="s">
        <v>406</v>
      </c>
      <c r="L273" s="19">
        <f>O273/N273</f>
        <v>468.3546352941176</v>
      </c>
      <c r="M273" s="14" t="s">
        <v>367</v>
      </c>
      <c r="N273" s="77">
        <f>K246</f>
        <v>0.58</v>
      </c>
      <c r="O273" s="18">
        <f>K247-G99</f>
        <v>271.6456884705882</v>
      </c>
      <c r="P273" s="25">
        <f>O273/O283*100</f>
        <v>20.31565749342021</v>
      </c>
      <c r="Q273" s="79" t="s">
        <v>386</v>
      </c>
    </row>
    <row r="274" spans="11:17" ht="10.5">
      <c r="K274" s="14" t="s">
        <v>473</v>
      </c>
      <c r="L274" s="19">
        <f>O274/N274</f>
        <v>8663.304</v>
      </c>
      <c r="M274" s="14" t="s">
        <v>519</v>
      </c>
      <c r="N274" s="77">
        <f>D143</f>
        <v>0.1</v>
      </c>
      <c r="O274" s="18">
        <f>N9+O9-H9-E54-E99+N99-D80-D144-G247</f>
        <v>866.3304</v>
      </c>
      <c r="P274" s="25">
        <f>O274/O283*100</f>
        <v>64.79054308437271</v>
      </c>
      <c r="Q274" s="12" t="s">
        <v>185</v>
      </c>
    </row>
    <row r="275" spans="1:17" s="14" customFormat="1" ht="10.5" customHeight="1">
      <c r="A275" s="59"/>
      <c r="B275" s="14" t="s">
        <v>590</v>
      </c>
      <c r="C275" s="14" t="e">
        <f>G275/E275</f>
        <v>#DIV/0!</v>
      </c>
      <c r="D275" s="14" t="s">
        <v>193</v>
      </c>
      <c r="E275" s="27">
        <f>K169</f>
        <v>0</v>
      </c>
      <c r="G275" s="16">
        <f>C247</f>
        <v>76</v>
      </c>
      <c r="H275" s="14">
        <f>G275/G283*100</f>
        <v>66.73449935831266</v>
      </c>
      <c r="I275" s="28"/>
      <c r="J275" s="60"/>
      <c r="K275" s="14" t="s">
        <v>418</v>
      </c>
      <c r="L275" s="19">
        <f>O275/N275</f>
        <v>37.8305776156</v>
      </c>
      <c r="M275" s="14" t="s">
        <v>367</v>
      </c>
      <c r="N275" s="77">
        <f>L143</f>
        <v>1.42</v>
      </c>
      <c r="O275" s="18">
        <f>L144</f>
        <v>53.719420214151995</v>
      </c>
      <c r="P275" s="25">
        <f>O275/O283*100</f>
        <v>4.017532352382575</v>
      </c>
      <c r="Q275" s="79" t="s">
        <v>384</v>
      </c>
    </row>
    <row r="276" spans="1:17" s="14" customFormat="1" ht="10.5" customHeight="1">
      <c r="A276" s="59"/>
      <c r="B276" s="14" t="s">
        <v>407</v>
      </c>
      <c r="C276" s="14">
        <f>G276</f>
        <v>15</v>
      </c>
      <c r="D276" s="14" t="s">
        <v>520</v>
      </c>
      <c r="E276" s="27"/>
      <c r="G276" s="17">
        <f>G9</f>
        <v>15</v>
      </c>
      <c r="H276" s="14">
        <f>G276/G283*100</f>
        <v>13.171282768088027</v>
      </c>
      <c r="I276" s="28"/>
      <c r="J276" s="60"/>
      <c r="K276" s="9" t="s">
        <v>307</v>
      </c>
      <c r="L276" s="19">
        <f>M6-D244</f>
        <v>728</v>
      </c>
      <c r="M276" s="14" t="s">
        <v>367</v>
      </c>
      <c r="N276" s="77">
        <f>M8</f>
        <v>0.07</v>
      </c>
      <c r="O276" s="18">
        <f>L276*N276</f>
        <v>50.96000000000001</v>
      </c>
      <c r="P276" s="25">
        <f>O276/O283*100</f>
        <v>3.811162664474932</v>
      </c>
      <c r="Q276" s="21" t="s">
        <v>276</v>
      </c>
    </row>
    <row r="277" spans="1:17" s="14" customFormat="1" ht="10.5" customHeight="1">
      <c r="A277" s="59"/>
      <c r="B277" s="14" t="s">
        <v>547</v>
      </c>
      <c r="C277" s="14">
        <f>G277</f>
        <v>11.254562</v>
      </c>
      <c r="D277" s="14" t="s">
        <v>520</v>
      </c>
      <c r="E277" s="27"/>
      <c r="G277" s="16">
        <f>F54+F144+E144</f>
        <v>11.254562</v>
      </c>
      <c r="H277" s="14">
        <f>G277/G283*100</f>
        <v>9.882467902198554</v>
      </c>
      <c r="I277" s="28"/>
      <c r="J277" s="60"/>
      <c r="K277" s="14" t="s">
        <v>598</v>
      </c>
      <c r="L277" s="19">
        <f aca="true" t="shared" si="0" ref="L277:L282">O277/N277</f>
        <v>8.469532302</v>
      </c>
      <c r="M277" s="14" t="s">
        <v>367</v>
      </c>
      <c r="N277" s="77">
        <f>M143</f>
        <v>1.58</v>
      </c>
      <c r="O277" s="18">
        <f>M144</f>
        <v>13.38186103716</v>
      </c>
      <c r="P277" s="25">
        <f>O277/O283*100</f>
        <v>1.0007937434461533</v>
      </c>
      <c r="Q277" s="79" t="s">
        <v>383</v>
      </c>
    </row>
    <row r="278" spans="1:17" s="14" customFormat="1" ht="10.5" customHeight="1">
      <c r="A278" s="59"/>
      <c r="B278" s="14" t="s">
        <v>502</v>
      </c>
      <c r="C278" s="14">
        <f>G278/E278</f>
        <v>833.6405</v>
      </c>
      <c r="D278" s="14" t="s">
        <v>388</v>
      </c>
      <c r="E278" s="27">
        <v>0.004</v>
      </c>
      <c r="G278" s="16">
        <f>F99+E144+F80+F247-M247</f>
        <v>3.334562</v>
      </c>
      <c r="H278" s="14">
        <f>G278/G283*100</f>
        <v>2.9280306006480763</v>
      </c>
      <c r="I278" s="28"/>
      <c r="J278" s="60"/>
      <c r="K278" s="14" t="s">
        <v>252</v>
      </c>
      <c r="L278" s="19">
        <f t="shared" si="0"/>
        <v>8.469532302</v>
      </c>
      <c r="M278" s="14" t="s">
        <v>367</v>
      </c>
      <c r="N278" s="77">
        <f>K143</f>
        <v>1.49</v>
      </c>
      <c r="O278" s="18">
        <f>K144</f>
        <v>12.619603129979998</v>
      </c>
      <c r="P278" s="25">
        <f>O278/O283*100</f>
        <v>0.9437865048954228</v>
      </c>
      <c r="Q278" s="78" t="s">
        <v>308</v>
      </c>
    </row>
    <row r="279" spans="1:17" s="14" customFormat="1" ht="10.5" customHeight="1">
      <c r="A279" s="59"/>
      <c r="B279" s="14" t="s">
        <v>408</v>
      </c>
      <c r="C279" s="14">
        <f>G279</f>
        <v>8</v>
      </c>
      <c r="D279" s="14" t="s">
        <v>520</v>
      </c>
      <c r="E279" s="27"/>
      <c r="G279" s="16">
        <f>E80+D99</f>
        <v>8</v>
      </c>
      <c r="H279" s="14">
        <f>G279/G283*100</f>
        <v>7.024684142980281</v>
      </c>
      <c r="I279" s="28"/>
      <c r="J279" s="60"/>
      <c r="K279" s="14" t="s">
        <v>399</v>
      </c>
      <c r="L279" s="19">
        <f t="shared" si="0"/>
        <v>4.60636</v>
      </c>
      <c r="M279" s="14" t="s">
        <v>367</v>
      </c>
      <c r="N279" s="77">
        <f>L98</f>
        <v>1.34</v>
      </c>
      <c r="O279" s="18">
        <f>L99</f>
        <v>6.1725224</v>
      </c>
      <c r="P279" s="25">
        <f>O279/O283*100</f>
        <v>0.46162650935076915</v>
      </c>
      <c r="Q279" s="79"/>
    </row>
    <row r="280" spans="1:16" s="14" customFormat="1" ht="10.5" customHeight="1">
      <c r="A280" s="59"/>
      <c r="B280" s="14" t="s">
        <v>486</v>
      </c>
      <c r="C280" s="14">
        <f>G280/E280</f>
        <v>295</v>
      </c>
      <c r="D280" s="14" t="s">
        <v>367</v>
      </c>
      <c r="E280" s="27">
        <f>D8</f>
        <v>0.001</v>
      </c>
      <c r="G280" s="16">
        <f>D9</f>
        <v>0.295</v>
      </c>
      <c r="H280" s="14">
        <f>G280/G283*100</f>
        <v>0.2590352277723978</v>
      </c>
      <c r="I280" s="28"/>
      <c r="J280" s="60"/>
      <c r="K280" s="14" t="s">
        <v>251</v>
      </c>
      <c r="L280" s="19">
        <f t="shared" si="0"/>
        <v>1132</v>
      </c>
      <c r="M280" s="14" t="s">
        <v>367</v>
      </c>
      <c r="N280" s="77">
        <f>C8*-1</f>
        <v>0.03</v>
      </c>
      <c r="O280" s="18">
        <f>-1*(C9+E247)</f>
        <v>33.96</v>
      </c>
      <c r="P280" s="25">
        <f>O280/O283*100</f>
        <v>2.53977794516422</v>
      </c>
    </row>
    <row r="281" spans="1:17" s="14" customFormat="1" ht="10.5" customHeight="1">
      <c r="A281" s="59"/>
      <c r="I281" s="28"/>
      <c r="J281" s="60"/>
      <c r="K281" s="14" t="s">
        <v>462</v>
      </c>
      <c r="L281" s="19">
        <f t="shared" si="0"/>
        <v>5.56</v>
      </c>
      <c r="M281" s="14" t="s">
        <v>367</v>
      </c>
      <c r="N281" s="77">
        <f>L79</f>
        <v>5</v>
      </c>
      <c r="O281" s="18">
        <f>L80</f>
        <v>27.799999999999997</v>
      </c>
      <c r="P281" s="25">
        <f>O281/O283*100</f>
        <v>2.0790879527551622</v>
      </c>
      <c r="Q281" s="79"/>
    </row>
    <row r="282" spans="1:17" s="29" customFormat="1" ht="10.5" customHeight="1" thickBot="1">
      <c r="A282" s="61"/>
      <c r="I282" s="30"/>
      <c r="J282" s="57"/>
      <c r="K282" s="29" t="s">
        <v>363</v>
      </c>
      <c r="L282" s="86">
        <f t="shared" si="0"/>
        <v>0.6775625841599998</v>
      </c>
      <c r="M282" s="29" t="s">
        <v>367</v>
      </c>
      <c r="N282" s="81">
        <f>N143</f>
        <v>0.79</v>
      </c>
      <c r="O282" s="31">
        <f>N144</f>
        <v>0.5352744414863999</v>
      </c>
      <c r="P282" s="32">
        <f>O282/O283*100</f>
        <v>0.04003174973784612</v>
      </c>
      <c r="Q282" s="80" t="s">
        <v>385</v>
      </c>
    </row>
    <row r="283" spans="1:16" s="14" customFormat="1" ht="10.5" customHeight="1">
      <c r="A283" s="59"/>
      <c r="B283" s="14" t="s">
        <v>364</v>
      </c>
      <c r="G283" s="14">
        <f>SUM(G273:G282)</f>
        <v>113.884124</v>
      </c>
      <c r="H283" s="14">
        <f>SUM(H273:H282)</f>
        <v>99.99999999999999</v>
      </c>
      <c r="I283" s="28"/>
      <c r="J283" s="55"/>
      <c r="K283" s="14" t="s">
        <v>364</v>
      </c>
      <c r="O283" s="14">
        <f>SUM(O273:O282)</f>
        <v>1337.1247696933667</v>
      </c>
      <c r="P283" s="14">
        <f>SUM(P273:P282)</f>
        <v>100</v>
      </c>
    </row>
    <row r="284" spans="2:17" ht="10.5" customHeight="1" thickBot="1">
      <c r="B284" s="54" t="s">
        <v>320</v>
      </c>
      <c r="Q284" s="9"/>
    </row>
    <row r="285" spans="1:17" ht="10.5" customHeight="1" thickBot="1">
      <c r="A285" s="59">
        <v>1</v>
      </c>
      <c r="B285" s="12" t="s">
        <v>592</v>
      </c>
      <c r="K285" s="8" t="s">
        <v>365</v>
      </c>
      <c r="O285" s="33">
        <f>O283-G283</f>
        <v>1223.2406456933668</v>
      </c>
      <c r="P285" s="52"/>
      <c r="Q285" s="26"/>
    </row>
    <row r="286" spans="2:17" ht="10.5" customHeight="1">
      <c r="B286" s="12"/>
      <c r="Q286" s="9"/>
    </row>
    <row r="287" spans="2:17" ht="10.5" customHeight="1">
      <c r="B287" s="12"/>
      <c r="Q287" s="9"/>
    </row>
    <row r="288" spans="1:16" ht="10.5">
      <c r="A288" s="102" t="s">
        <v>436</v>
      </c>
      <c r="B288" s="12"/>
      <c r="C288" s="12"/>
      <c r="D288" s="12"/>
      <c r="E288" s="12"/>
      <c r="F288" s="12"/>
      <c r="G288" s="12"/>
      <c r="H288" s="12"/>
      <c r="I288" s="20"/>
      <c r="K288" s="12"/>
      <c r="L288" s="12"/>
      <c r="M288" s="12"/>
      <c r="N288" s="12"/>
      <c r="O288" s="12"/>
      <c r="P288" s="12"/>
    </row>
    <row r="289" spans="2:16" ht="10.5">
      <c r="B289" s="12"/>
      <c r="C289" s="12"/>
      <c r="D289" s="12"/>
      <c r="E289" s="12"/>
      <c r="F289" s="12"/>
      <c r="G289" s="12"/>
      <c r="H289" s="12"/>
      <c r="I289" s="20"/>
      <c r="K289" s="12"/>
      <c r="L289" s="12"/>
      <c r="M289" s="12"/>
      <c r="N289" s="12"/>
      <c r="O289" s="12"/>
      <c r="P289" s="12"/>
    </row>
    <row r="290" ht="10.5">
      <c r="A290" s="70" t="s">
        <v>446</v>
      </c>
    </row>
    <row r="291" spans="1:16" ht="10.5">
      <c r="A291" s="70" t="s">
        <v>541</v>
      </c>
      <c r="B291" s="12"/>
      <c r="C291" s="12"/>
      <c r="D291" s="12"/>
      <c r="E291" s="12"/>
      <c r="F291" s="12"/>
      <c r="G291" s="12"/>
      <c r="H291" s="12"/>
      <c r="I291" s="20"/>
      <c r="K291" s="12"/>
      <c r="L291" s="12"/>
      <c r="M291" s="12"/>
      <c r="N291" s="12"/>
      <c r="O291" s="12"/>
      <c r="P291" s="12"/>
    </row>
    <row r="292" spans="1:16" ht="10.5">
      <c r="A292" s="70" t="s">
        <v>274</v>
      </c>
      <c r="B292" s="12"/>
      <c r="C292" s="12"/>
      <c r="D292" s="12"/>
      <c r="E292" s="12"/>
      <c r="F292" s="12"/>
      <c r="G292" s="12"/>
      <c r="H292" s="12"/>
      <c r="I292" s="20"/>
      <c r="K292" s="12"/>
      <c r="L292" s="12"/>
      <c r="M292" s="12"/>
      <c r="N292" s="12"/>
      <c r="O292" s="12"/>
      <c r="P292" s="12"/>
    </row>
    <row r="293" spans="1:16" ht="10.5">
      <c r="A293" s="70" t="s">
        <v>267</v>
      </c>
      <c r="B293" s="12"/>
      <c r="C293" s="12"/>
      <c r="D293" s="12"/>
      <c r="E293" s="12"/>
      <c r="F293" s="12"/>
      <c r="G293" s="12"/>
      <c r="H293" s="12"/>
      <c r="I293" s="20"/>
      <c r="K293" s="12"/>
      <c r="L293" s="12"/>
      <c r="M293" s="12"/>
      <c r="N293" s="12"/>
      <c r="O293" s="12"/>
      <c r="P293" s="12"/>
    </row>
    <row r="294" spans="1:16" ht="10.5">
      <c r="A294" s="54"/>
      <c r="B294" s="9" t="s">
        <v>481</v>
      </c>
      <c r="C294" s="12"/>
      <c r="D294" s="12"/>
      <c r="E294" s="12"/>
      <c r="F294" s="12"/>
      <c r="G294" s="12"/>
      <c r="H294" s="12"/>
      <c r="I294" s="34">
        <v>135131</v>
      </c>
      <c r="K294" s="12"/>
      <c r="L294" s="12"/>
      <c r="M294" s="12"/>
      <c r="N294" s="12"/>
      <c r="O294" s="12"/>
      <c r="P294" s="12"/>
    </row>
    <row r="295" spans="1:16" ht="10.5">
      <c r="A295" s="54"/>
      <c r="B295" s="12"/>
      <c r="C295" s="12"/>
      <c r="D295" s="12"/>
      <c r="E295" s="12"/>
      <c r="F295" s="12"/>
      <c r="G295" s="12"/>
      <c r="H295" s="12"/>
      <c r="I295" s="20"/>
      <c r="K295" s="12"/>
      <c r="L295" s="12"/>
      <c r="M295" s="12"/>
      <c r="N295" s="12"/>
      <c r="O295" s="12"/>
      <c r="P295" s="12"/>
    </row>
    <row r="296" spans="1:16" ht="10.5">
      <c r="A296" s="70" t="s">
        <v>346</v>
      </c>
      <c r="B296" s="12"/>
      <c r="C296" s="12"/>
      <c r="D296" s="12"/>
      <c r="E296" s="12"/>
      <c r="F296" s="12"/>
      <c r="G296" s="12"/>
      <c r="H296" s="12"/>
      <c r="I296" s="20"/>
      <c r="K296" s="12"/>
      <c r="L296" s="12"/>
      <c r="M296" s="12"/>
      <c r="N296" s="12"/>
      <c r="O296" s="12"/>
      <c r="P296" s="12"/>
    </row>
    <row r="297" spans="1:16" ht="10.5">
      <c r="A297" s="70"/>
      <c r="B297" s="12"/>
      <c r="C297" s="12"/>
      <c r="D297" s="12"/>
      <c r="E297" s="12"/>
      <c r="F297" s="12"/>
      <c r="G297" s="12"/>
      <c r="H297" s="12"/>
      <c r="I297" s="20"/>
      <c r="K297" s="12"/>
      <c r="L297" s="12"/>
      <c r="M297" s="12"/>
      <c r="N297" s="12"/>
      <c r="O297" s="12"/>
      <c r="P297" s="12"/>
    </row>
    <row r="298" spans="1:16" ht="10.5">
      <c r="A298" s="54"/>
      <c r="B298" s="12"/>
      <c r="C298" s="12"/>
      <c r="D298" s="12"/>
      <c r="E298" s="12"/>
      <c r="F298" s="12"/>
      <c r="G298" s="12"/>
      <c r="H298" s="12"/>
      <c r="I298" s="20"/>
      <c r="K298" s="12"/>
      <c r="L298" s="12"/>
      <c r="M298" s="12"/>
      <c r="N298" s="12"/>
      <c r="O298" s="12"/>
      <c r="P298" s="12"/>
    </row>
    <row r="299" spans="1:16" ht="10.5">
      <c r="A299" s="70" t="s">
        <v>186</v>
      </c>
      <c r="B299" s="12"/>
      <c r="C299" s="12"/>
      <c r="D299" s="12"/>
      <c r="E299" s="12"/>
      <c r="F299" s="12"/>
      <c r="G299" s="12"/>
      <c r="H299" s="12"/>
      <c r="I299" s="20"/>
      <c r="K299" s="12"/>
      <c r="L299" s="12"/>
      <c r="M299" s="12"/>
      <c r="N299" s="12"/>
      <c r="O299" s="12"/>
      <c r="P299" s="12"/>
    </row>
    <row r="300" spans="1:11" s="35" customFormat="1" ht="34.5" customHeight="1">
      <c r="A300" s="54" t="s">
        <v>257</v>
      </c>
      <c r="G300" s="73" t="s">
        <v>349</v>
      </c>
      <c r="H300" s="72" t="s">
        <v>348</v>
      </c>
      <c r="I300" s="71" t="s">
        <v>347</v>
      </c>
      <c r="J300" s="58"/>
      <c r="K300" s="12" t="s">
        <v>241</v>
      </c>
    </row>
    <row r="301" spans="1:16" ht="10.5">
      <c r="A301" s="54"/>
      <c r="B301" s="8" t="s">
        <v>258</v>
      </c>
      <c r="C301" s="12"/>
      <c r="D301" s="12"/>
      <c r="E301" s="12"/>
      <c r="F301" s="9" t="s">
        <v>420</v>
      </c>
      <c r="G301" s="37">
        <f>O283</f>
        <v>1337.1247696933667</v>
      </c>
      <c r="H301" s="76">
        <f>G301*24*365/1746</f>
        <v>6708.598500867062</v>
      </c>
      <c r="I301" s="34">
        <f>H301*50</f>
        <v>335429.9250433531</v>
      </c>
      <c r="K301" s="12" t="s">
        <v>298</v>
      </c>
      <c r="L301" s="12"/>
      <c r="M301" s="12"/>
      <c r="N301" s="21"/>
      <c r="O301" s="12"/>
      <c r="P301" s="12"/>
    </row>
    <row r="302" spans="1:17" s="41" customFormat="1" ht="12" thickBot="1">
      <c r="A302" s="56"/>
      <c r="B302" s="40" t="s">
        <v>259</v>
      </c>
      <c r="C302" s="39"/>
      <c r="D302" s="39"/>
      <c r="E302" s="39"/>
      <c r="G302" s="42"/>
      <c r="H302" s="43"/>
      <c r="I302" s="44">
        <f>0.03*I301</f>
        <v>10062.897751300594</v>
      </c>
      <c r="J302" s="57"/>
      <c r="K302" s="39" t="s">
        <v>254</v>
      </c>
      <c r="L302" s="39"/>
      <c r="M302" s="39"/>
      <c r="N302" s="39"/>
      <c r="O302" s="39"/>
      <c r="P302" s="39"/>
      <c r="Q302" s="39"/>
    </row>
    <row r="303" spans="1:16" ht="10.5">
      <c r="A303" s="54"/>
      <c r="B303" s="8" t="s">
        <v>359</v>
      </c>
      <c r="C303" s="12"/>
      <c r="D303" s="12"/>
      <c r="E303" s="12"/>
      <c r="G303" s="45"/>
      <c r="H303" s="38"/>
      <c r="I303" s="34">
        <f>SUM(I301:I302)</f>
        <v>345492.8227946537</v>
      </c>
      <c r="K303" s="12"/>
      <c r="L303" s="12"/>
      <c r="M303" s="12"/>
      <c r="N303" s="12"/>
      <c r="O303" s="12"/>
      <c r="P303" s="12"/>
    </row>
    <row r="304" spans="1:16" ht="10.5">
      <c r="A304" s="54"/>
      <c r="B304" s="12"/>
      <c r="C304" s="12"/>
      <c r="D304" s="12"/>
      <c r="E304" s="12"/>
      <c r="F304" s="12"/>
      <c r="G304" s="38"/>
      <c r="H304" s="38"/>
      <c r="I304" s="34"/>
      <c r="K304" s="12"/>
      <c r="L304" s="12"/>
      <c r="M304" s="12"/>
      <c r="N304" s="12"/>
      <c r="O304" s="12"/>
      <c r="P304" s="12"/>
    </row>
    <row r="305" spans="1:11" ht="27" customHeight="1">
      <c r="A305" s="54" t="s">
        <v>295</v>
      </c>
      <c r="G305" s="36"/>
      <c r="H305" s="72" t="s">
        <v>348</v>
      </c>
      <c r="I305" s="34"/>
      <c r="K305" s="12"/>
    </row>
    <row r="306" spans="1:14" ht="10.5">
      <c r="A306" s="54"/>
      <c r="B306" s="8" t="s">
        <v>381</v>
      </c>
      <c r="F306" s="9" t="s">
        <v>420</v>
      </c>
      <c r="G306" s="46">
        <f>G283</f>
        <v>113.884124</v>
      </c>
      <c r="H306" s="76">
        <f>G306*24*365/1746</f>
        <v>571.3773918900343</v>
      </c>
      <c r="I306" s="34">
        <f>H306*50</f>
        <v>28568.869594501717</v>
      </c>
      <c r="K306" s="12" t="s">
        <v>416</v>
      </c>
      <c r="N306" s="11"/>
    </row>
    <row r="307" spans="1:14" ht="10.5">
      <c r="A307" s="54"/>
      <c r="B307" s="8" t="s">
        <v>421</v>
      </c>
      <c r="G307" s="45"/>
      <c r="H307" s="38"/>
      <c r="I307" s="34">
        <v>5972</v>
      </c>
      <c r="K307" s="12" t="s">
        <v>322</v>
      </c>
      <c r="N307" s="11"/>
    </row>
    <row r="308" spans="1:11" ht="10.5">
      <c r="A308" s="54"/>
      <c r="B308" s="8" t="s">
        <v>327</v>
      </c>
      <c r="G308" s="47"/>
      <c r="H308" s="47"/>
      <c r="I308" s="34">
        <f>2*I307</f>
        <v>11944</v>
      </c>
      <c r="K308" s="12" t="s">
        <v>459</v>
      </c>
    </row>
    <row r="309" spans="1:14" ht="10.5">
      <c r="A309" s="54"/>
      <c r="B309" s="8" t="s">
        <v>330</v>
      </c>
      <c r="G309" s="47"/>
      <c r="H309" s="47"/>
      <c r="I309" s="34">
        <f>0.012*7949*10000/200</f>
        <v>4769.4</v>
      </c>
      <c r="K309" s="12" t="s">
        <v>264</v>
      </c>
      <c r="N309" s="12" t="s">
        <v>142</v>
      </c>
    </row>
    <row r="310" spans="1:16" ht="10.5">
      <c r="A310" s="54"/>
      <c r="B310" s="8" t="s">
        <v>414</v>
      </c>
      <c r="G310" s="47"/>
      <c r="H310" s="47"/>
      <c r="I310" s="34">
        <f>1173.37*10000/(100*2)</f>
        <v>58668.49999999999</v>
      </c>
      <c r="K310" s="12" t="s">
        <v>378</v>
      </c>
      <c r="M310" s="12"/>
      <c r="O310" s="12"/>
      <c r="P310" s="12"/>
    </row>
    <row r="311" spans="1:16" ht="10.5">
      <c r="A311" s="54"/>
      <c r="B311" s="8" t="s">
        <v>296</v>
      </c>
      <c r="G311" s="47"/>
      <c r="H311" s="47"/>
      <c r="I311" s="34">
        <f>0.05*I324</f>
        <v>28241.600000000002</v>
      </c>
      <c r="K311" s="12" t="s">
        <v>356</v>
      </c>
      <c r="M311" s="12"/>
      <c r="O311" s="12"/>
      <c r="P311" s="12"/>
    </row>
    <row r="312" spans="1:11" ht="10.5">
      <c r="A312" s="54"/>
      <c r="B312" s="8" t="s">
        <v>331</v>
      </c>
      <c r="G312" s="47"/>
      <c r="H312" s="47"/>
      <c r="I312" s="34">
        <f>0.02*I301</f>
        <v>6708.598500867062</v>
      </c>
      <c r="K312" s="12" t="s">
        <v>332</v>
      </c>
    </row>
    <row r="313" spans="1:11" ht="10.5">
      <c r="A313" s="54"/>
      <c r="B313" s="8" t="s">
        <v>425</v>
      </c>
      <c r="G313" s="47"/>
      <c r="H313" s="47"/>
      <c r="I313" s="34">
        <f>0.084*I301</f>
        <v>28176.113703641662</v>
      </c>
      <c r="K313" s="12" t="s">
        <v>404</v>
      </c>
    </row>
    <row r="314" spans="1:17" s="41" customFormat="1" ht="12" thickBot="1">
      <c r="A314" s="56"/>
      <c r="B314" s="40" t="s">
        <v>360</v>
      </c>
      <c r="G314" s="48"/>
      <c r="H314" s="48"/>
      <c r="I314" s="44">
        <f>0.5*I307</f>
        <v>2986</v>
      </c>
      <c r="J314" s="57"/>
      <c r="K314" s="39" t="s">
        <v>328</v>
      </c>
      <c r="Q314" s="39"/>
    </row>
    <row r="315" spans="1:11" ht="10.5">
      <c r="A315" s="54"/>
      <c r="B315" s="8" t="s">
        <v>253</v>
      </c>
      <c r="G315" s="47"/>
      <c r="H315" s="47"/>
      <c r="I315" s="34">
        <f>SUM(I306:I314)</f>
        <v>176035.08179901043</v>
      </c>
      <c r="K315" s="12"/>
    </row>
    <row r="316" spans="1:17" s="41" customFormat="1" ht="12" thickBot="1">
      <c r="A316" s="56"/>
      <c r="B316" s="40"/>
      <c r="G316" s="48"/>
      <c r="H316" s="48"/>
      <c r="I316" s="44"/>
      <c r="J316" s="57"/>
      <c r="K316" s="39"/>
      <c r="Q316" s="39"/>
    </row>
    <row r="317" spans="1:11" ht="10.5">
      <c r="A317" s="54" t="s">
        <v>246</v>
      </c>
      <c r="B317" s="8"/>
      <c r="G317" s="47"/>
      <c r="H317" s="47"/>
      <c r="I317" s="34">
        <f>I303-I315</f>
        <v>169457.74099564328</v>
      </c>
      <c r="K317" s="12"/>
    </row>
    <row r="318" spans="1:11" ht="10.5">
      <c r="A318" s="54"/>
      <c r="B318" s="8"/>
      <c r="G318" s="47"/>
      <c r="H318" s="47"/>
      <c r="I318" s="34"/>
      <c r="K318" s="12"/>
    </row>
    <row r="319" spans="1:16" ht="10.5">
      <c r="A319" s="54" t="s">
        <v>244</v>
      </c>
      <c r="G319" s="47"/>
      <c r="H319" s="47"/>
      <c r="I319" s="34">
        <f>1356*50</f>
        <v>67800</v>
      </c>
      <c r="K319" s="12" t="s">
        <v>294</v>
      </c>
      <c r="O319" s="12"/>
      <c r="P319" s="12"/>
    </row>
    <row r="320" spans="1:11" ht="10.5">
      <c r="A320" s="54" t="s">
        <v>245</v>
      </c>
      <c r="B320" s="8"/>
      <c r="G320" s="47"/>
      <c r="H320" s="47"/>
      <c r="I320" s="34">
        <f>0.3*I317+0.012*I303+0.02*I324</f>
        <v>66279.87617222883</v>
      </c>
      <c r="K320" s="12" t="s">
        <v>329</v>
      </c>
    </row>
    <row r="321" spans="1:17" s="41" customFormat="1" ht="12" thickBot="1">
      <c r="A321" s="56"/>
      <c r="B321" s="40"/>
      <c r="G321" s="48"/>
      <c r="H321" s="48"/>
      <c r="I321" s="44"/>
      <c r="J321" s="57"/>
      <c r="K321" s="39"/>
      <c r="Q321" s="39"/>
    </row>
    <row r="322" spans="1:11" ht="10.5">
      <c r="A322" s="54" t="s">
        <v>370</v>
      </c>
      <c r="B322" s="8"/>
      <c r="G322" s="47"/>
      <c r="H322" s="47"/>
      <c r="I322" s="34">
        <f>I317-SUM(I319:I320)</f>
        <v>35377.86482341445</v>
      </c>
      <c r="K322" s="12"/>
    </row>
    <row r="323" spans="1:11" ht="10.5">
      <c r="A323" s="54"/>
      <c r="B323" s="8"/>
      <c r="G323" s="47"/>
      <c r="H323" s="47"/>
      <c r="I323" s="34"/>
      <c r="K323" s="12"/>
    </row>
    <row r="324" spans="1:11" ht="10.5">
      <c r="A324" s="54" t="s">
        <v>361</v>
      </c>
      <c r="B324" s="8"/>
      <c r="G324" s="47"/>
      <c r="H324" s="47"/>
      <c r="I324" s="34">
        <v>564832</v>
      </c>
      <c r="K324" s="12" t="s">
        <v>379</v>
      </c>
    </row>
    <row r="325" spans="1:17" s="41" customFormat="1" ht="12" thickBot="1">
      <c r="A325" s="56"/>
      <c r="B325" s="40"/>
      <c r="I325" s="49"/>
      <c r="J325" s="57"/>
      <c r="K325" s="39"/>
      <c r="Q325" s="39"/>
    </row>
    <row r="326" spans="1:11" ht="10.5">
      <c r="A326" s="54" t="s">
        <v>544</v>
      </c>
      <c r="I326" s="50">
        <f>I322/I324*100</f>
        <v>6.263431396134505</v>
      </c>
      <c r="K326" s="12" t="s">
        <v>422</v>
      </c>
    </row>
    <row r="327" spans="1:11" ht="10.5">
      <c r="A327" s="54"/>
      <c r="I327" s="50"/>
      <c r="K327" s="12"/>
    </row>
    <row r="328" spans="1:11" ht="10.5">
      <c r="A328" s="54"/>
      <c r="I328" s="50"/>
      <c r="K328" s="12"/>
    </row>
    <row r="329" ht="10.5">
      <c r="B329" s="54" t="s">
        <v>320</v>
      </c>
    </row>
    <row r="330" spans="1:3" ht="10.5">
      <c r="A330" s="59">
        <v>1</v>
      </c>
      <c r="B330" s="12" t="s">
        <v>211</v>
      </c>
      <c r="C330" s="12"/>
    </row>
    <row r="331" spans="2:3" ht="10.5">
      <c r="B331" s="12"/>
      <c r="C331" s="12" t="s">
        <v>523</v>
      </c>
    </row>
    <row r="332" spans="2:3" ht="10.5">
      <c r="B332" s="12"/>
      <c r="C332" s="12" t="s">
        <v>173</v>
      </c>
    </row>
    <row r="333" spans="2:3" ht="10.5">
      <c r="B333" s="12"/>
      <c r="C333" s="12"/>
    </row>
    <row r="334" spans="1:2" ht="10.5">
      <c r="A334" s="59">
        <v>2</v>
      </c>
      <c r="B334" s="12" t="s">
        <v>415</v>
      </c>
    </row>
    <row r="335" spans="2:3" ht="10.5">
      <c r="B335" s="12"/>
      <c r="C335" s="12" t="s">
        <v>212</v>
      </c>
    </row>
    <row r="336" spans="2:3" ht="10.5">
      <c r="B336" s="12"/>
      <c r="C336" s="12" t="s">
        <v>242</v>
      </c>
    </row>
    <row r="337" spans="2:3" ht="10.5">
      <c r="B337" s="12"/>
      <c r="C337" s="12" t="s">
        <v>362</v>
      </c>
    </row>
    <row r="338" spans="2:3" ht="10.5">
      <c r="B338" s="12"/>
      <c r="C338" s="12" t="s">
        <v>374</v>
      </c>
    </row>
    <row r="339" spans="2:3" ht="10.5">
      <c r="B339" s="12"/>
      <c r="C339" s="12" t="s">
        <v>269</v>
      </c>
    </row>
    <row r="341" spans="1:2" ht="10.5">
      <c r="A341" s="59">
        <v>3</v>
      </c>
      <c r="B341" s="12" t="s">
        <v>311</v>
      </c>
    </row>
    <row r="342" ht="10.5">
      <c r="B342" s="12"/>
    </row>
    <row r="343" spans="1:2" ht="10.5">
      <c r="A343" s="59">
        <v>4</v>
      </c>
      <c r="B343" s="12" t="s">
        <v>143</v>
      </c>
    </row>
    <row r="344" ht="10.5">
      <c r="B344" s="12"/>
    </row>
    <row r="345" spans="1:2" ht="10.5">
      <c r="A345" s="59">
        <v>5</v>
      </c>
      <c r="B345" s="12" t="s">
        <v>350</v>
      </c>
    </row>
    <row r="346" spans="2:3" ht="10.5">
      <c r="B346" s="12"/>
      <c r="C346" s="12"/>
    </row>
    <row r="347" spans="1:3" ht="10.5">
      <c r="A347" s="59">
        <v>6</v>
      </c>
      <c r="B347" s="12" t="s">
        <v>326</v>
      </c>
      <c r="C347" s="12"/>
    </row>
    <row r="348" ht="10.5">
      <c r="B348" s="12"/>
    </row>
    <row r="349" spans="1:2" ht="10.5">
      <c r="A349" s="59">
        <v>7</v>
      </c>
      <c r="B349" s="12" t="s">
        <v>312</v>
      </c>
    </row>
    <row r="350" ht="10.5">
      <c r="B350" s="12"/>
    </row>
    <row r="351" spans="1:2" ht="10.5">
      <c r="A351" s="59">
        <v>8</v>
      </c>
      <c r="B351" s="12" t="s">
        <v>220</v>
      </c>
    </row>
    <row r="352" spans="2:3" ht="10.5">
      <c r="B352" s="12"/>
      <c r="C352" s="12" t="s">
        <v>618</v>
      </c>
    </row>
    <row r="353" spans="1:2" ht="10.5">
      <c r="A353" s="59">
        <v>9</v>
      </c>
      <c r="B353" s="12" t="s">
        <v>171</v>
      </c>
    </row>
    <row r="354" ht="10.5">
      <c r="B354" s="12"/>
    </row>
    <row r="355" spans="1:2" ht="10.5">
      <c r="A355" s="59">
        <v>10</v>
      </c>
      <c r="B355" s="12" t="s">
        <v>594</v>
      </c>
    </row>
    <row r="356" ht="10.5">
      <c r="B356" s="12"/>
    </row>
    <row r="357" spans="1:2" ht="10.5">
      <c r="A357" s="59">
        <v>11</v>
      </c>
      <c r="B357" s="12" t="s">
        <v>458</v>
      </c>
    </row>
    <row r="358" ht="10.5">
      <c r="B358" s="12"/>
    </row>
    <row r="359" spans="1:2" ht="10.5">
      <c r="A359" s="59">
        <v>12</v>
      </c>
      <c r="B359" s="12" t="s">
        <v>272</v>
      </c>
    </row>
    <row r="360" ht="10.5">
      <c r="B360" s="12" t="s">
        <v>427</v>
      </c>
    </row>
    <row r="361" ht="10.5">
      <c r="B361" s="12"/>
    </row>
    <row r="362" spans="1:2" ht="10.5">
      <c r="A362" s="59">
        <v>13</v>
      </c>
      <c r="B362" s="12" t="s">
        <v>238</v>
      </c>
    </row>
    <row r="363" ht="10.5">
      <c r="B363" s="12" t="s">
        <v>172</v>
      </c>
    </row>
    <row r="364" ht="10.5">
      <c r="B364" s="12" t="s">
        <v>88</v>
      </c>
    </row>
    <row r="365" spans="1:10" s="12" customFormat="1" ht="10.5">
      <c r="A365" s="59"/>
      <c r="B365" s="12" t="s">
        <v>301</v>
      </c>
      <c r="I365" s="20"/>
      <c r="J365" s="55"/>
    </row>
    <row r="366" spans="1:10" s="12" customFormat="1" ht="10.5">
      <c r="A366" s="59"/>
      <c r="B366" s="12" t="s">
        <v>342</v>
      </c>
      <c r="I366" s="20"/>
      <c r="J366" s="55"/>
    </row>
    <row r="367" spans="1:10" s="12" customFormat="1" ht="10.5">
      <c r="A367" s="59"/>
      <c r="B367" s="12" t="s">
        <v>219</v>
      </c>
      <c r="I367" s="20"/>
      <c r="J367" s="55"/>
    </row>
    <row r="368" spans="1:10" s="12" customFormat="1" ht="10.5">
      <c r="A368" s="59"/>
      <c r="B368" s="9"/>
      <c r="I368" s="20"/>
      <c r="J368" s="55"/>
    </row>
    <row r="369" spans="1:2" ht="10.5">
      <c r="A369" s="59">
        <v>14</v>
      </c>
      <c r="B369" s="12" t="s">
        <v>403</v>
      </c>
    </row>
    <row r="370" ht="10.5">
      <c r="B370" s="12" t="s">
        <v>303</v>
      </c>
    </row>
    <row r="371" ht="10.5">
      <c r="B371" s="12" t="s">
        <v>423</v>
      </c>
    </row>
  </sheetData>
  <sheetProtection/>
  <printOptions/>
  <pageMargins left="0.35433070866141736" right="0.35433070866141736" top="0.7874015748031497" bottom="0.5905511811023623" header="0.31496062992125984" footer="0.31496062992125984"/>
  <pageSetup orientation="landscape" paperSize="9"/>
  <headerFooter alignWithMargins="0">
    <oddHeader>&amp;L&amp;"Times New Roman,Regular"&amp;8COMMERCIAL-IN-CONFIDENCE&amp;C&amp;"Times New Roman,Bold"
WINWICK BIOFUEL PROCESS ECONOMIC MODEL  -  WHEN OIL IS AUD150/BBL  AND USE 15% OF ALGAL OXYGEN FOR METHANOL</oddHeader>
    <oddFooter>&amp;L&amp;"Times New Roman,Regular"&amp;8&amp;F
Copyright (c) Winwick Business Solutions P/L 2007&amp;C&amp;"Times New Roman,Regular"&amp;9&amp;P&amp;R&amp;"Times New Roman,Regular"&amp;9&amp;D</oddFooter>
  </headerFooter>
</worksheet>
</file>

<file path=xl/worksheets/sheet2.xml><?xml version="1.0" encoding="utf-8"?>
<worksheet xmlns="http://schemas.openxmlformats.org/spreadsheetml/2006/main" xmlns:r="http://schemas.openxmlformats.org/officeDocument/2006/relationships">
  <dimension ref="A1:N44"/>
  <sheetViews>
    <sheetView workbookViewId="0" topLeftCell="A35">
      <selection activeCell="F40" sqref="F40"/>
    </sheetView>
  </sheetViews>
  <sheetFormatPr defaultColWidth="11.00390625" defaultRowHeight="12.75"/>
  <cols>
    <col min="1" max="1" width="6.375" style="0" customWidth="1"/>
    <col min="3" max="3" width="5.875" style="0" customWidth="1"/>
    <col min="4" max="4" width="6.25390625" style="0" customWidth="1"/>
    <col min="5" max="5" width="6.125" style="0" customWidth="1"/>
    <col min="6" max="6" width="5.75390625" style="0" customWidth="1"/>
    <col min="7" max="7" width="6.00390625" style="0" customWidth="1"/>
    <col min="8" max="8" width="5.25390625" style="0" customWidth="1"/>
    <col min="9" max="9" width="12.00390625" style="0" customWidth="1"/>
    <col min="10" max="10" width="6.75390625" style="0" customWidth="1"/>
    <col min="11" max="11" width="5.75390625" style="0" customWidth="1"/>
    <col min="12" max="12" width="6.625" style="0" customWidth="1"/>
    <col min="13" max="13" width="5.875" style="0" customWidth="1"/>
    <col min="14" max="14" width="6.375" style="0" customWidth="1"/>
    <col min="15" max="15" width="7.00390625" style="0" customWidth="1"/>
    <col min="16" max="16" width="6.00390625" style="0" customWidth="1"/>
  </cols>
  <sheetData>
    <row r="1" spans="1:9" s="1" customFormat="1" ht="12.75">
      <c r="A1" s="2" t="s">
        <v>286</v>
      </c>
      <c r="B1" s="2" t="s">
        <v>466</v>
      </c>
      <c r="I1" s="5" t="s">
        <v>410</v>
      </c>
    </row>
    <row r="2" spans="1:13" s="1" customFormat="1" ht="12.75">
      <c r="A2" s="2"/>
      <c r="B2" s="3" t="s">
        <v>471</v>
      </c>
      <c r="C2" s="1" t="s">
        <v>468</v>
      </c>
      <c r="D2" s="1" t="s">
        <v>285</v>
      </c>
      <c r="E2" s="1" t="s">
        <v>473</v>
      </c>
      <c r="F2" s="1" t="s">
        <v>502</v>
      </c>
      <c r="I2" s="5" t="s">
        <v>509</v>
      </c>
      <c r="J2" s="1" t="s">
        <v>506</v>
      </c>
      <c r="K2" s="1" t="s">
        <v>546</v>
      </c>
      <c r="L2" s="1" t="s">
        <v>261</v>
      </c>
      <c r="M2" s="1" t="s">
        <v>262</v>
      </c>
    </row>
    <row r="3" spans="1:9" s="1" customFormat="1" ht="12.75">
      <c r="A3" s="2"/>
      <c r="B3" s="3" t="s">
        <v>608</v>
      </c>
      <c r="I3" s="5" t="s">
        <v>510</v>
      </c>
    </row>
    <row r="4" spans="1:9" s="1" customFormat="1" ht="12.75">
      <c r="A4" s="2"/>
      <c r="B4" s="3" t="s">
        <v>469</v>
      </c>
      <c r="I4" s="5"/>
    </row>
    <row r="5" spans="1:9" s="1" customFormat="1" ht="12.75">
      <c r="A5" s="2"/>
      <c r="B5" s="3" t="s">
        <v>607</v>
      </c>
      <c r="I5" s="5"/>
    </row>
    <row r="6" spans="1:9" s="1" customFormat="1" ht="12.75">
      <c r="A6" s="2"/>
      <c r="B6" s="3" t="s">
        <v>472</v>
      </c>
      <c r="D6" s="1">
        <v>0.41</v>
      </c>
      <c r="I6" s="5"/>
    </row>
    <row r="7" spans="1:11" s="1" customFormat="1" ht="12.75">
      <c r="A7" s="2"/>
      <c r="B7" s="3" t="s">
        <v>470</v>
      </c>
      <c r="D7" s="1" t="s">
        <v>503</v>
      </c>
      <c r="I7" s="5"/>
      <c r="J7" s="1" t="s">
        <v>505</v>
      </c>
      <c r="K7" s="1" t="s">
        <v>508</v>
      </c>
    </row>
    <row r="8" spans="1:9" s="1" customFormat="1" ht="12.75">
      <c r="A8" s="2"/>
      <c r="B8" s="3"/>
      <c r="C8" s="6" t="s">
        <v>325</v>
      </c>
      <c r="I8" s="5"/>
    </row>
    <row r="9" spans="3:9" s="6" customFormat="1" ht="12.75">
      <c r="C9" s="6" t="s">
        <v>375</v>
      </c>
      <c r="I9" s="7"/>
    </row>
    <row r="10" spans="1:9" s="1" customFormat="1" ht="12.75">
      <c r="A10" s="2"/>
      <c r="B10" s="3"/>
      <c r="C10" s="6" t="s">
        <v>376</v>
      </c>
      <c r="I10" s="5"/>
    </row>
    <row r="11" spans="1:9" s="1" customFormat="1" ht="12.75">
      <c r="A11" s="2"/>
      <c r="B11" s="3"/>
      <c r="C11" s="6"/>
      <c r="I11" s="5"/>
    </row>
    <row r="12" spans="1:9" s="1" customFormat="1" ht="12.75">
      <c r="A12" s="2"/>
      <c r="B12" s="3"/>
      <c r="C12" s="6"/>
      <c r="I12" s="5"/>
    </row>
    <row r="13" spans="1:9" s="1" customFormat="1" ht="12.75">
      <c r="A13" s="2"/>
      <c r="B13" s="3"/>
      <c r="I13" s="5"/>
    </row>
    <row r="14" spans="1:9" s="1" customFormat="1" ht="12.75">
      <c r="A14" s="2" t="s">
        <v>287</v>
      </c>
      <c r="B14" s="2" t="s">
        <v>467</v>
      </c>
      <c r="I14" s="5" t="s">
        <v>517</v>
      </c>
    </row>
    <row r="15" spans="1:12" s="1" customFormat="1" ht="12.75">
      <c r="A15" s="2"/>
      <c r="B15" s="3" t="s">
        <v>471</v>
      </c>
      <c r="C15" s="1" t="s">
        <v>468</v>
      </c>
      <c r="D15" s="1" t="s">
        <v>626</v>
      </c>
      <c r="E15" s="1" t="s">
        <v>473</v>
      </c>
      <c r="F15" s="1" t="s">
        <v>502</v>
      </c>
      <c r="I15" s="5" t="s">
        <v>402</v>
      </c>
      <c r="J15" s="1" t="s">
        <v>506</v>
      </c>
      <c r="K15" s="1" t="s">
        <v>262</v>
      </c>
      <c r="L15" s="1" t="s">
        <v>397</v>
      </c>
    </row>
    <row r="16" spans="1:12" s="1" customFormat="1" ht="12.75">
      <c r="A16" s="2"/>
      <c r="B16" s="3" t="s">
        <v>608</v>
      </c>
      <c r="I16" s="5" t="s">
        <v>444</v>
      </c>
      <c r="K16" s="1" t="s">
        <v>396</v>
      </c>
      <c r="L16" s="1" t="s">
        <v>398</v>
      </c>
    </row>
    <row r="17" spans="1:9" s="1" customFormat="1" ht="12.75">
      <c r="A17" s="2"/>
      <c r="B17" s="3" t="s">
        <v>469</v>
      </c>
      <c r="I17" s="5"/>
    </row>
    <row r="18" spans="1:9" s="1" customFormat="1" ht="12.75">
      <c r="A18" s="2"/>
      <c r="B18" s="3" t="s">
        <v>607</v>
      </c>
      <c r="I18" s="5"/>
    </row>
    <row r="19" spans="1:9" s="1" customFormat="1" ht="12.75">
      <c r="A19" s="2"/>
      <c r="B19" s="3" t="s">
        <v>472</v>
      </c>
      <c r="I19" s="5"/>
    </row>
    <row r="20" spans="1:10" s="1" customFormat="1" ht="12.75">
      <c r="A20" s="2"/>
      <c r="B20" s="3" t="s">
        <v>470</v>
      </c>
      <c r="I20" s="5"/>
      <c r="J20" s="1" t="s">
        <v>505</v>
      </c>
    </row>
    <row r="21" spans="1:9" s="1" customFormat="1" ht="12.75">
      <c r="A21" s="2"/>
      <c r="B21" s="3"/>
      <c r="C21" s="6" t="s">
        <v>621</v>
      </c>
      <c r="I21" s="5"/>
    </row>
    <row r="22" spans="1:9" s="1" customFormat="1" ht="12.75">
      <c r="A22" s="2"/>
      <c r="B22" s="3"/>
      <c r="C22" s="6"/>
      <c r="I22" s="5"/>
    </row>
    <row r="23" spans="1:9" s="1" customFormat="1" ht="12.75">
      <c r="A23" s="2"/>
      <c r="B23" s="3"/>
      <c r="I23" s="5"/>
    </row>
    <row r="24" spans="1:14" s="1" customFormat="1" ht="15">
      <c r="A24" s="2" t="s">
        <v>288</v>
      </c>
      <c r="B24" s="2" t="s">
        <v>391</v>
      </c>
      <c r="E24" s="1" t="s">
        <v>393</v>
      </c>
      <c r="I24" s="5" t="s">
        <v>442</v>
      </c>
      <c r="J24" s="1" t="s">
        <v>395</v>
      </c>
      <c r="K24" s="1" t="s">
        <v>291</v>
      </c>
      <c r="L24" s="1" t="s">
        <v>291</v>
      </c>
      <c r="M24" s="1" t="s">
        <v>291</v>
      </c>
      <c r="N24" s="1" t="s">
        <v>291</v>
      </c>
    </row>
    <row r="25" spans="1:14" s="1" customFormat="1" ht="12.75">
      <c r="A25" s="2"/>
      <c r="B25" s="3" t="s">
        <v>471</v>
      </c>
      <c r="C25" s="1" t="s">
        <v>545</v>
      </c>
      <c r="D25" s="1" t="s">
        <v>500</v>
      </c>
      <c r="E25" s="1" t="s">
        <v>392</v>
      </c>
      <c r="F25" s="1" t="s">
        <v>473</v>
      </c>
      <c r="G25" s="1" t="s">
        <v>502</v>
      </c>
      <c r="I25" s="5" t="s">
        <v>441</v>
      </c>
      <c r="J25" s="1" t="s">
        <v>501</v>
      </c>
      <c r="K25" s="1" t="s">
        <v>622</v>
      </c>
      <c r="L25" s="1" t="s">
        <v>623</v>
      </c>
      <c r="M25" s="1" t="s">
        <v>290</v>
      </c>
      <c r="N25" s="1" t="s">
        <v>613</v>
      </c>
    </row>
    <row r="26" spans="1:9" s="1" customFormat="1" ht="12.75">
      <c r="A26" s="2"/>
      <c r="B26" s="3" t="s">
        <v>608</v>
      </c>
      <c r="E26" s="1" t="s">
        <v>394</v>
      </c>
      <c r="I26" s="5" t="s">
        <v>289</v>
      </c>
    </row>
    <row r="27" spans="1:9" s="1" customFormat="1" ht="12.75">
      <c r="A27" s="2"/>
      <c r="B27" s="3" t="s">
        <v>469</v>
      </c>
      <c r="I27" s="5" t="s">
        <v>443</v>
      </c>
    </row>
    <row r="28" spans="1:9" s="1" customFormat="1" ht="12.75">
      <c r="A28" s="2"/>
      <c r="B28" s="3" t="s">
        <v>607</v>
      </c>
      <c r="I28" s="5"/>
    </row>
    <row r="29" spans="1:10" s="1" customFormat="1" ht="12.75">
      <c r="A29" s="2"/>
      <c r="B29" s="3" t="s">
        <v>472</v>
      </c>
      <c r="C29" s="1">
        <v>0.97</v>
      </c>
      <c r="I29" s="5"/>
      <c r="J29" s="1">
        <v>0.41</v>
      </c>
    </row>
    <row r="30" spans="1:10" s="1" customFormat="1" ht="12.75">
      <c r="A30" s="2"/>
      <c r="B30" s="3" t="s">
        <v>470</v>
      </c>
      <c r="C30" s="1" t="s">
        <v>474</v>
      </c>
      <c r="D30" s="1" t="s">
        <v>614</v>
      </c>
      <c r="I30" s="5"/>
      <c r="J30" s="1" t="s">
        <v>503</v>
      </c>
    </row>
    <row r="31" spans="1:12" s="1" customFormat="1" ht="15">
      <c r="A31" s="2"/>
      <c r="B31" s="3"/>
      <c r="C31" s="6" t="s">
        <v>316</v>
      </c>
      <c r="D31" s="6"/>
      <c r="E31" s="6"/>
      <c r="F31" s="6"/>
      <c r="G31" s="6"/>
      <c r="H31" s="6" t="s">
        <v>624</v>
      </c>
      <c r="I31" s="7"/>
      <c r="J31" s="6"/>
      <c r="K31" s="6"/>
      <c r="L31" s="6" t="s">
        <v>256</v>
      </c>
    </row>
    <row r="32" spans="3:9" s="2" customFormat="1" ht="12.75">
      <c r="C32" s="6" t="s">
        <v>317</v>
      </c>
      <c r="H32" s="6" t="s">
        <v>435</v>
      </c>
      <c r="I32" s="4"/>
    </row>
    <row r="33" spans="3:12" s="2" customFormat="1" ht="12.75">
      <c r="C33" s="6" t="s">
        <v>409</v>
      </c>
      <c r="I33" s="4"/>
      <c r="L33" s="6" t="s">
        <v>292</v>
      </c>
    </row>
    <row r="34" spans="3:9" s="6" customFormat="1" ht="12.75">
      <c r="C34" s="6" t="s">
        <v>255</v>
      </c>
      <c r="I34" s="7"/>
    </row>
    <row r="35" s="6" customFormat="1" ht="12.75">
      <c r="I35" s="7"/>
    </row>
    <row r="36" spans="1:14" s="1" customFormat="1" ht="12.75">
      <c r="A36" s="2" t="s">
        <v>507</v>
      </c>
      <c r="B36" s="2" t="s">
        <v>389</v>
      </c>
      <c r="D36" s="1" t="s">
        <v>395</v>
      </c>
      <c r="E36" s="1" t="s">
        <v>390</v>
      </c>
      <c r="G36" s="1" t="s">
        <v>531</v>
      </c>
      <c r="I36" s="5" t="s">
        <v>517</v>
      </c>
      <c r="J36" s="1" t="s">
        <v>426</v>
      </c>
      <c r="K36" s="1" t="s">
        <v>399</v>
      </c>
      <c r="M36" s="1" t="s">
        <v>528</v>
      </c>
      <c r="N36" s="1" t="s">
        <v>527</v>
      </c>
    </row>
    <row r="37" spans="1:14" s="1" customFormat="1" ht="15">
      <c r="A37" s="2"/>
      <c r="B37" s="3" t="s">
        <v>471</v>
      </c>
      <c r="C37" s="1" t="s">
        <v>506</v>
      </c>
      <c r="D37" s="1" t="s">
        <v>285</v>
      </c>
      <c r="E37" s="1" t="s">
        <v>525</v>
      </c>
      <c r="F37" s="1" t="s">
        <v>473</v>
      </c>
      <c r="G37" s="1" t="s">
        <v>530</v>
      </c>
      <c r="I37" s="5" t="s">
        <v>402</v>
      </c>
      <c r="J37" s="1" t="s">
        <v>377</v>
      </c>
      <c r="K37" s="1" t="s">
        <v>457</v>
      </c>
      <c r="M37" s="1" t="s">
        <v>260</v>
      </c>
      <c r="N37" s="1" t="s">
        <v>529</v>
      </c>
    </row>
    <row r="38" spans="1:9" s="1" customFormat="1" ht="12.75">
      <c r="A38" s="2"/>
      <c r="B38" s="3" t="s">
        <v>608</v>
      </c>
      <c r="I38" s="5" t="s">
        <v>444</v>
      </c>
    </row>
    <row r="39" spans="1:9" s="1" customFormat="1" ht="12.75">
      <c r="A39" s="2"/>
      <c r="B39" s="3" t="s">
        <v>469</v>
      </c>
      <c r="I39" s="5"/>
    </row>
    <row r="40" spans="1:9" s="1" customFormat="1" ht="12.75">
      <c r="A40" s="2"/>
      <c r="B40" s="3" t="s">
        <v>607</v>
      </c>
      <c r="I40" s="5"/>
    </row>
    <row r="41" spans="1:9" s="1" customFormat="1" ht="12.75">
      <c r="A41" s="2"/>
      <c r="B41" s="3" t="s">
        <v>472</v>
      </c>
      <c r="D41" s="1">
        <v>0.41</v>
      </c>
      <c r="E41" s="1">
        <v>1.06</v>
      </c>
      <c r="I41" s="5"/>
    </row>
    <row r="42" spans="1:9" s="1" customFormat="1" ht="12.75">
      <c r="A42" s="2"/>
      <c r="B42" s="3" t="s">
        <v>470</v>
      </c>
      <c r="D42" s="1" t="s">
        <v>503</v>
      </c>
      <c r="E42" s="1" t="s">
        <v>504</v>
      </c>
      <c r="I42" s="5"/>
    </row>
    <row r="43" spans="3:9" s="2" customFormat="1" ht="12.75">
      <c r="C43" s="6" t="s">
        <v>524</v>
      </c>
      <c r="I43" s="4"/>
    </row>
    <row r="44" spans="3:9" s="2" customFormat="1" ht="12.75">
      <c r="C44" s="1" t="s">
        <v>495</v>
      </c>
      <c r="I44" s="4"/>
    </row>
  </sheetData>
  <sheetProtection/>
  <printOptions/>
  <pageMargins left="0.35433070866141736" right="0.35433070866141736" top="0.984251968503937" bottom="0.984251968503937" header="0.5118110236220472" footer="0.5118110236220472"/>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Winwick Business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Severn Clarke</dc:creator>
  <cp:keywords/>
  <dc:description/>
  <cp:lastModifiedBy>Severn Clarke</cp:lastModifiedBy>
  <cp:lastPrinted>2010-06-01T01:12:36Z</cp:lastPrinted>
  <dcterms:created xsi:type="dcterms:W3CDTF">2007-11-14T00:28:31Z</dcterms:created>
  <dcterms:modified xsi:type="dcterms:W3CDTF">2013-07-02T07:09:39Z</dcterms:modified>
  <cp:category/>
  <cp:version/>
  <cp:contentType/>
  <cp:contentStatus/>
</cp:coreProperties>
</file>